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 tabRatio="781" firstSheet="2" activeTab="4"/>
  </bookViews>
  <sheets>
    <sheet name="Сводная для жильцов" sheetId="15" state="hidden" r:id="rId1"/>
    <sheet name="ТСЖ 2 кв.2025г." sheetId="59" state="hidden" r:id="rId2"/>
    <sheet name=" 2 кв. 2025г." sheetId="58" r:id="rId3"/>
    <sheet name="ТСЖ 1 кв.2025г." sheetId="57" state="hidden" r:id="rId4"/>
    <sheet name=" 1 кв. 2025г." sheetId="56" r:id="rId5"/>
    <sheet name="ТСЖ 4 кв.2024г." sheetId="55" state="hidden" r:id="rId6"/>
    <sheet name="УК 4 кв. 2024г." sheetId="54" state="hidden" r:id="rId7"/>
    <sheet name="ТСЖ 3 кв.2024г." sheetId="52" state="hidden" r:id="rId8"/>
    <sheet name="УК 3 кв. 2024г." sheetId="53" state="hidden" r:id="rId9"/>
    <sheet name="ТСЖ 2 кв.2024г." sheetId="50" state="hidden" r:id="rId10"/>
    <sheet name="УК 2 кв. 2024г." sheetId="51" state="hidden" r:id="rId11"/>
    <sheet name="ТСЖ 1 кв.2024г." sheetId="48" state="hidden" r:id="rId12"/>
    <sheet name="УК 1 кв. 2024г." sheetId="49" state="hidden" r:id="rId13"/>
    <sheet name="ТСЖ 4 кв.2023г." sheetId="46" state="hidden" r:id="rId14"/>
    <sheet name="УК 4 кв. 2023г." sheetId="47" state="hidden" r:id="rId15"/>
    <sheet name="ТСЖ 3 кв.2023г." sheetId="44" state="hidden" r:id="rId16"/>
    <sheet name="УК 3 кв. 2023г." sheetId="45" state="hidden" r:id="rId17"/>
    <sheet name="ТСЖ 2 кв.2023г." sheetId="43" state="hidden" r:id="rId18"/>
    <sheet name="УК 2 кв. 2023г." sheetId="42" state="hidden" r:id="rId19"/>
    <sheet name="ТСЖ 1 кв.2023г." sheetId="41" state="hidden" r:id="rId20"/>
    <sheet name="УК 1 кв. 2023г." sheetId="40" state="hidden" r:id="rId21"/>
    <sheet name="УК 4 кв. 2022г." sheetId="39" state="hidden" r:id="rId22"/>
    <sheet name="ТСЖ 4 кв.2022г." sheetId="38" state="hidden" r:id="rId23"/>
    <sheet name="УК 3кв. 2022г." sheetId="37" state="hidden" r:id="rId24"/>
    <sheet name="ТСЖ 3 кв.2022г." sheetId="36" state="hidden" r:id="rId25"/>
    <sheet name="УК 2кв. 2022г." sheetId="34" state="hidden" r:id="rId26"/>
    <sheet name="ТСЖ 2 кв.2022г." sheetId="35" state="hidden" r:id="rId27"/>
    <sheet name="УК 1кв. 2022г." sheetId="33" state="hidden" r:id="rId28"/>
    <sheet name="ТСЖ 1 кв.2022г." sheetId="32" state="hidden" r:id="rId29"/>
    <sheet name="УК 4кв. 2021г." sheetId="30" state="hidden" r:id="rId30"/>
    <sheet name="ТСЖ 4 кв.2021г." sheetId="31" state="hidden" r:id="rId31"/>
    <sheet name="УК 3кв. 2021г." sheetId="28" state="hidden" r:id="rId32"/>
    <sheet name="ТСЖ 3 кв.2021г." sheetId="29" state="hidden" r:id="rId33"/>
    <sheet name="УК 2кв. 2021г." sheetId="26" state="hidden" r:id="rId34"/>
    <sheet name="ТСЖ 2 кв.2021г. " sheetId="27" state="hidden" r:id="rId35"/>
    <sheet name="УК 1кв. 2021г." sheetId="24" state="hidden" r:id="rId36"/>
    <sheet name="ТСЖ 1 кв.2021г." sheetId="25" state="hidden" r:id="rId37"/>
    <sheet name="УК 4 кв. 2020г." sheetId="22" state="hidden" r:id="rId38"/>
    <sheet name="ТСЖ 4 кв.2020г." sheetId="23" state="hidden" r:id="rId39"/>
    <sheet name="УК 3 кв. 2020г." sheetId="21" state="hidden" r:id="rId40"/>
    <sheet name="ТСЖ 3 кв.2020г." sheetId="20" state="hidden" r:id="rId41"/>
    <sheet name="УК 2 кв. 2020г." sheetId="18" state="hidden" r:id="rId42"/>
    <sheet name="ТСЖ 2 кв.2020г." sheetId="19" state="hidden" r:id="rId43"/>
    <sheet name="УК 1 кв. 2020г." sheetId="16" state="hidden" r:id="rId44"/>
    <sheet name="ТСЖ 1 кв.2020г." sheetId="17" state="hidden" r:id="rId45"/>
    <sheet name="УК 4 кв. 2019г" sheetId="14" state="hidden" r:id="rId46"/>
    <sheet name="ТСЖ 4  кв.2019г" sheetId="13" state="hidden" r:id="rId47"/>
    <sheet name="УК 3 кв. 2019г " sheetId="12" state="hidden" r:id="rId48"/>
    <sheet name="ТСЖ 3 кв.2019г " sheetId="11" state="hidden" r:id="rId49"/>
    <sheet name="УК 2 кв. 2019г " sheetId="10" state="hidden" r:id="rId50"/>
    <sheet name="ТСЖ 2 кв.2019г " sheetId="9" state="hidden" r:id="rId51"/>
    <sheet name="ТСЖ 1 кв.2019г" sheetId="8" state="hidden" r:id="rId52"/>
    <sheet name="УК 1кв. 2019г" sheetId="7" state="hidden" r:id="rId53"/>
    <sheet name="ТСЖ 2 КВ. 2018 " sheetId="6" state="hidden" r:id="rId54"/>
    <sheet name="УК 1кв. 2018г." sheetId="5" state="hidden" r:id="rId55"/>
    <sheet name="ТСЖ 1 КВ. 2018" sheetId="4" state="hidden" r:id="rId56"/>
    <sheet name="ТСЖ 4 кв.17" sheetId="1" state="hidden" r:id="rId57"/>
    <sheet name="УК 4 кв.17" sheetId="2" state="hidden" r:id="rId58"/>
    <sheet name="Лист3" sheetId="3" state="hidden" r:id="rId59"/>
  </sheets>
  <definedNames>
    <definedName name="__DdeLink__3079_107845019366" localSheetId="55">'ТСЖ 1 КВ. 2018'!$A$39</definedName>
    <definedName name="__DdeLink__3079_107845019366" localSheetId="51">'ТСЖ 1 кв.2019г'!$A$39</definedName>
    <definedName name="__DdeLink__3079_107845019366" localSheetId="44">'ТСЖ 1 кв.2020г.'!$A$50</definedName>
    <definedName name="__DdeLink__3079_107845019366" localSheetId="36">'ТСЖ 1 кв.2021г.'!$A$50</definedName>
    <definedName name="__DdeLink__3079_107845019366" localSheetId="28">'ТСЖ 1 кв.2022г.'!$A$49</definedName>
    <definedName name="__DdeLink__3079_107845019366" localSheetId="19">'ТСЖ 1 кв.2023г.'!$A$49</definedName>
    <definedName name="__DdeLink__3079_107845019366" localSheetId="11">'ТСЖ 1 кв.2024г.'!$A$38</definedName>
    <definedName name="__DdeLink__3079_107845019366" localSheetId="3">'ТСЖ 1 кв.2025г.'!$A$38</definedName>
    <definedName name="__DdeLink__3079_107845019366" localSheetId="53">'ТСЖ 2 КВ. 2018 '!$A$39</definedName>
    <definedName name="__DdeLink__3079_107845019366" localSheetId="50">'ТСЖ 2 кв.2019г '!$A$39</definedName>
    <definedName name="__DdeLink__3079_107845019366" localSheetId="42">'ТСЖ 2 кв.2020г.'!$A$50</definedName>
    <definedName name="__DdeLink__3079_107845019366" localSheetId="34">'ТСЖ 2 кв.2021г. '!$A$54</definedName>
    <definedName name="__DdeLink__3079_107845019366" localSheetId="26">'ТСЖ 2 кв.2022г.'!$A$49</definedName>
    <definedName name="__DdeLink__3079_107845019366" localSheetId="17">'ТСЖ 2 кв.2023г.'!$A$49</definedName>
    <definedName name="__DdeLink__3079_107845019366" localSheetId="9">'ТСЖ 2 кв.2024г.'!$A$38</definedName>
    <definedName name="__DdeLink__3079_107845019366" localSheetId="1">'ТСЖ 2 кв.2025г.'!$A$38</definedName>
    <definedName name="__DdeLink__3079_107845019366" localSheetId="48">'ТСЖ 3 кв.2019г '!$A$50</definedName>
    <definedName name="__DdeLink__3079_107845019366" localSheetId="40">'ТСЖ 3 кв.2020г.'!$A$50</definedName>
    <definedName name="__DdeLink__3079_107845019366" localSheetId="32">'ТСЖ 3 кв.2021г.'!$A$47</definedName>
    <definedName name="__DdeLink__3079_107845019366" localSheetId="24">'ТСЖ 3 кв.2022г.'!$A$49</definedName>
    <definedName name="__DdeLink__3079_107845019366" localSheetId="15">'ТСЖ 3 кв.2023г.'!$A$50</definedName>
    <definedName name="__DdeLink__3079_107845019366" localSheetId="7">'ТСЖ 3 кв.2024г.'!$A$38</definedName>
    <definedName name="__DdeLink__3079_107845019366" localSheetId="46">'ТСЖ 4  кв.2019г'!$A$52</definedName>
    <definedName name="__DdeLink__3079_107845019366" localSheetId="56">'ТСЖ 4 кв.17'!$A$39</definedName>
    <definedName name="__DdeLink__3079_107845019366" localSheetId="38">'ТСЖ 4 кв.2020г.'!$A$50</definedName>
    <definedName name="__DdeLink__3079_107845019366" localSheetId="30">'ТСЖ 4 кв.2021г.'!$A$52</definedName>
    <definedName name="__DdeLink__3079_107845019366" localSheetId="22">'ТСЖ 4 кв.2022г.'!$A$49</definedName>
    <definedName name="__DdeLink__3079_107845019366" localSheetId="13">'ТСЖ 4 кв.2023г.'!$A$50</definedName>
    <definedName name="__DdeLink__3079_107845019366" localSheetId="5">'ТСЖ 4 кв.2024г.'!$A$38</definedName>
    <definedName name="_GoBack" localSheetId="55">'ТСЖ 1 КВ. 2018'!$A$35</definedName>
    <definedName name="_GoBack" localSheetId="51">'ТСЖ 1 кв.2019г'!$A$35</definedName>
    <definedName name="_GoBack" localSheetId="44">'ТСЖ 1 кв.2020г.'!$A$46</definedName>
    <definedName name="_GoBack" localSheetId="36">'ТСЖ 1 кв.2021г.'!$A$46</definedName>
    <definedName name="_GoBack" localSheetId="28">'ТСЖ 1 кв.2022г.'!$A$45</definedName>
    <definedName name="_GoBack" localSheetId="19">'ТСЖ 1 кв.2023г.'!$A$45</definedName>
    <definedName name="_GoBack" localSheetId="11">'ТСЖ 1 кв.2024г.'!$A$34</definedName>
    <definedName name="_GoBack" localSheetId="3">'ТСЖ 1 кв.2025г.'!$A$34</definedName>
    <definedName name="_GoBack" localSheetId="53">'ТСЖ 2 КВ. 2018 '!$A$35</definedName>
    <definedName name="_GoBack" localSheetId="50">'ТСЖ 2 кв.2019г '!$A$35</definedName>
    <definedName name="_GoBack" localSheetId="42">'ТСЖ 2 кв.2020г.'!$A$46</definedName>
    <definedName name="_GoBack" localSheetId="34">'ТСЖ 2 кв.2021г. '!$A$50</definedName>
    <definedName name="_GoBack" localSheetId="26">'ТСЖ 2 кв.2022г.'!$A$45</definedName>
    <definedName name="_GoBack" localSheetId="17">'ТСЖ 2 кв.2023г.'!$A$45</definedName>
    <definedName name="_GoBack" localSheetId="9">'ТСЖ 2 кв.2024г.'!$A$34</definedName>
    <definedName name="_GoBack" localSheetId="1">'ТСЖ 2 кв.2025г.'!$A$34</definedName>
    <definedName name="_GoBack" localSheetId="48">'ТСЖ 3 кв.2019г '!$A$46</definedName>
    <definedName name="_GoBack" localSheetId="40">'ТСЖ 3 кв.2020г.'!$A$46</definedName>
    <definedName name="_GoBack" localSheetId="32">'ТСЖ 3 кв.2021г.'!$A$43</definedName>
    <definedName name="_GoBack" localSheetId="24">'ТСЖ 3 кв.2022г.'!$A$45</definedName>
    <definedName name="_GoBack" localSheetId="15">'ТСЖ 3 кв.2023г.'!$A$46</definedName>
    <definedName name="_GoBack" localSheetId="7">'ТСЖ 3 кв.2024г.'!$A$34</definedName>
    <definedName name="_GoBack" localSheetId="46">'ТСЖ 4  кв.2019г'!$A$48</definedName>
    <definedName name="_GoBack" localSheetId="56">'ТСЖ 4 кв.17'!$A$35</definedName>
    <definedName name="_GoBack" localSheetId="38">'ТСЖ 4 кв.2020г.'!$A$46</definedName>
    <definedName name="_GoBack" localSheetId="30">'ТСЖ 4 кв.2021г.'!$A$48</definedName>
    <definedName name="_GoBack" localSheetId="22">'ТСЖ 4 кв.2022г.'!$A$45</definedName>
    <definedName name="_GoBack" localSheetId="13">'ТСЖ 4 кв.2023г.'!$A$46</definedName>
    <definedName name="_GoBack" localSheetId="5">'ТСЖ 4 кв.2024г.'!$A$34</definedName>
    <definedName name="_xlnm._FilterDatabase" localSheetId="4" hidden="1">' 1 кв. 2025г.'!$A$15:$W$25</definedName>
    <definedName name="_xlnm._FilterDatabase" localSheetId="2" hidden="1">' 2 кв. 2025г.'!$A$15:$W$29</definedName>
    <definedName name="_xlnm._FilterDatabase" localSheetId="19" hidden="1">'ТСЖ 1 кв.2023г.'!$A$13:$Z$29</definedName>
    <definedName name="_xlnm._FilterDatabase" localSheetId="11" hidden="1">'ТСЖ 1 кв.2024г.'!$A$13:$AA$32</definedName>
    <definedName name="_xlnm._FilterDatabase" localSheetId="3" hidden="1">'ТСЖ 1 кв.2025г.'!$A$13:$AA$32</definedName>
    <definedName name="_xlnm._FilterDatabase" localSheetId="17" hidden="1">'ТСЖ 2 кв.2023г.'!$A$13:$AA$43</definedName>
    <definedName name="_xlnm._FilterDatabase" localSheetId="9" hidden="1">'ТСЖ 2 кв.2024г.'!$A$13:$AA$32</definedName>
    <definedName name="_xlnm._FilterDatabase" localSheetId="1" hidden="1">'ТСЖ 2 кв.2025г.'!$A$13:$AA$32</definedName>
    <definedName name="_xlnm._FilterDatabase" localSheetId="15" hidden="1">'ТСЖ 3 кв.2023г.'!$A$13:$AA$44</definedName>
    <definedName name="_xlnm._FilterDatabase" localSheetId="7" hidden="1">'ТСЖ 3 кв.2024г.'!$A$13:$AA$32</definedName>
    <definedName name="_xlnm._FilterDatabase" localSheetId="22" hidden="1">'ТСЖ 4 кв.2022г.'!$A$13:$Z$29</definedName>
    <definedName name="_xlnm._FilterDatabase" localSheetId="13" hidden="1">'ТСЖ 4 кв.2023г.'!$A$13:$AA$44</definedName>
    <definedName name="_xlnm._FilterDatabase" localSheetId="5" hidden="1">'ТСЖ 4 кв.2024г.'!$A$13:$AA$32</definedName>
    <definedName name="_xlnm._FilterDatabase" localSheetId="20" hidden="1">'УК 1 кв. 2023г.'!$A$15:$W$23</definedName>
    <definedName name="_xlnm._FilterDatabase" localSheetId="12" hidden="1">'УК 1 кв. 2024г.'!$A$15:$W$23</definedName>
    <definedName name="_xlnm._FilterDatabase" localSheetId="18" hidden="1">'УК 2 кв. 2023г.'!$A$15:$W$23</definedName>
    <definedName name="_xlnm._FilterDatabase" localSheetId="10" hidden="1">'УК 2 кв. 2024г.'!$A$15:$W$23</definedName>
    <definedName name="_xlnm._FilterDatabase" localSheetId="16" hidden="1">'УК 3 кв. 2023г.'!$A$15:$W$23</definedName>
    <definedName name="_xlnm._FilterDatabase" localSheetId="8" hidden="1">'УК 3 кв. 2024г.'!$A$15:$W$25</definedName>
    <definedName name="_xlnm._FilterDatabase" localSheetId="21" hidden="1">'УК 4 кв. 2022г.'!$A$15:$W$28</definedName>
    <definedName name="_xlnm._FilterDatabase" localSheetId="14" hidden="1">'УК 4 кв. 2023г.'!$A$15:$W$23</definedName>
    <definedName name="_xlnm._FilterDatabase" localSheetId="6" hidden="1">'УК 4 кв. 2024г.'!$A$15:$W$26</definedName>
    <definedName name="bookmark666" localSheetId="55">'ТСЖ 1 КВ. 2018'!#REF!</definedName>
    <definedName name="bookmark666" localSheetId="51">'ТСЖ 1 кв.2019г'!#REF!</definedName>
    <definedName name="bookmark666" localSheetId="44">'ТСЖ 1 кв.2020г.'!#REF!</definedName>
    <definedName name="bookmark666" localSheetId="36">'ТСЖ 1 кв.2021г.'!#REF!</definedName>
    <definedName name="bookmark666" localSheetId="28">'ТСЖ 1 кв.2022г.'!#REF!</definedName>
    <definedName name="bookmark666" localSheetId="19">'ТСЖ 1 кв.2023г.'!#REF!</definedName>
    <definedName name="bookmark666" localSheetId="11">'ТСЖ 1 кв.2024г.'!#REF!</definedName>
    <definedName name="bookmark666" localSheetId="3">'ТСЖ 1 кв.2025г.'!#REF!</definedName>
    <definedName name="bookmark666" localSheetId="53">'ТСЖ 2 КВ. 2018 '!#REF!</definedName>
    <definedName name="bookmark666" localSheetId="50">'ТСЖ 2 кв.2019г '!#REF!</definedName>
    <definedName name="bookmark666" localSheetId="42">'ТСЖ 2 кв.2020г.'!#REF!</definedName>
    <definedName name="bookmark666" localSheetId="34">'ТСЖ 2 кв.2021г. '!#REF!</definedName>
    <definedName name="bookmark666" localSheetId="26">'ТСЖ 2 кв.2022г.'!#REF!</definedName>
    <definedName name="bookmark666" localSheetId="17">'ТСЖ 2 кв.2023г.'!#REF!</definedName>
    <definedName name="bookmark666" localSheetId="9">'ТСЖ 2 кв.2024г.'!#REF!</definedName>
    <definedName name="bookmark666" localSheetId="1">'ТСЖ 2 кв.2025г.'!#REF!</definedName>
    <definedName name="bookmark666" localSheetId="48">'ТСЖ 3 кв.2019г '!#REF!</definedName>
    <definedName name="bookmark666" localSheetId="40">'ТСЖ 3 кв.2020г.'!#REF!</definedName>
    <definedName name="bookmark666" localSheetId="32">'ТСЖ 3 кв.2021г.'!#REF!</definedName>
    <definedName name="bookmark666" localSheetId="24">'ТСЖ 3 кв.2022г.'!#REF!</definedName>
    <definedName name="bookmark666" localSheetId="15">'ТСЖ 3 кв.2023г.'!#REF!</definedName>
    <definedName name="bookmark666" localSheetId="7">'ТСЖ 3 кв.2024г.'!#REF!</definedName>
    <definedName name="bookmark666" localSheetId="46">'ТСЖ 4  кв.2019г'!#REF!</definedName>
    <definedName name="bookmark666" localSheetId="56">'ТСЖ 4 кв.17'!#REF!</definedName>
    <definedName name="bookmark666" localSheetId="38">'ТСЖ 4 кв.2020г.'!#REF!</definedName>
    <definedName name="bookmark666" localSheetId="30">'ТСЖ 4 кв.2021г.'!#REF!</definedName>
    <definedName name="bookmark666" localSheetId="22">'ТСЖ 4 кв.2022г.'!#REF!</definedName>
    <definedName name="bookmark666" localSheetId="13">'ТСЖ 4 кв.2023г.'!#REF!</definedName>
    <definedName name="bookmark666" localSheetId="5">'ТСЖ 4 кв.2024г.'!#REF!</definedName>
    <definedName name="_xlnm.Print_Area" localSheetId="4">' 1 кв. 2025г.'!$A$1:$P$40</definedName>
    <definedName name="_xlnm.Print_Area" localSheetId="2">' 2 кв. 2025г.'!$A$1:$P$46</definedName>
    <definedName name="_xlnm.Print_Area" localSheetId="44">'ТСЖ 1 кв.2020г.'!$A$1:$Q$50</definedName>
    <definedName name="_xlnm.Print_Area" localSheetId="36">'ТСЖ 1 кв.2021г.'!$A$1:$Q$50</definedName>
    <definedName name="_xlnm.Print_Area" localSheetId="28">'ТСЖ 1 кв.2022г.'!$A$1:$Q$49</definedName>
    <definedName name="_xlnm.Print_Area" localSheetId="19">'ТСЖ 1 кв.2023г.'!$A$1:$Q$49</definedName>
    <definedName name="_xlnm.Print_Area" localSheetId="11">'ТСЖ 1 кв.2024г.'!$A$1:$Q$38</definedName>
    <definedName name="_xlnm.Print_Area" localSheetId="3">'ТСЖ 1 кв.2025г.'!$A$1:$Q$38</definedName>
    <definedName name="_xlnm.Print_Area" localSheetId="42">'ТСЖ 2 кв.2020г.'!$A$1:$Q$50</definedName>
    <definedName name="_xlnm.Print_Area" localSheetId="34">'ТСЖ 2 кв.2021г. '!$A$1:$Q$54</definedName>
    <definedName name="_xlnm.Print_Area" localSheetId="26">'ТСЖ 2 кв.2022г.'!$A$1:$Q$49</definedName>
    <definedName name="_xlnm.Print_Area" localSheetId="17">'ТСЖ 2 кв.2023г.'!$A$1:$Q$49</definedName>
    <definedName name="_xlnm.Print_Area" localSheetId="9">'ТСЖ 2 кв.2024г.'!$A$1:$Q$38</definedName>
    <definedName name="_xlnm.Print_Area" localSheetId="1">'ТСЖ 2 кв.2025г.'!$A$1:$Q$38</definedName>
    <definedName name="_xlnm.Print_Area" localSheetId="40">'ТСЖ 3 кв.2020г.'!$A$1:$Q$50</definedName>
    <definedName name="_xlnm.Print_Area" localSheetId="32">'ТСЖ 3 кв.2021г.'!$A$1:$Q$47</definedName>
    <definedName name="_xlnm.Print_Area" localSheetId="24">'ТСЖ 3 кв.2022г.'!$A$1:$Q$49</definedName>
    <definedName name="_xlnm.Print_Area" localSheetId="15">'ТСЖ 3 кв.2023г.'!$A$1:$Q$50</definedName>
    <definedName name="_xlnm.Print_Area" localSheetId="7">'ТСЖ 3 кв.2024г.'!$A$1:$Q$38</definedName>
    <definedName name="_xlnm.Print_Area" localSheetId="38">'ТСЖ 4 кв.2020г.'!$A$1:$Q$50</definedName>
    <definedName name="_xlnm.Print_Area" localSheetId="30">'ТСЖ 4 кв.2021г.'!$A$1:$Q$52</definedName>
    <definedName name="_xlnm.Print_Area" localSheetId="22">'ТСЖ 4 кв.2022г.'!$A$1:$Q$49</definedName>
    <definedName name="_xlnm.Print_Area" localSheetId="13">'ТСЖ 4 кв.2023г.'!$A$1:$Q$50</definedName>
    <definedName name="_xlnm.Print_Area" localSheetId="5">'ТСЖ 4 кв.2024г.'!$A$1:$Q$38</definedName>
    <definedName name="_xlnm.Print_Area" localSheetId="43">'УК 1 кв. 2020г.'!$A$1:$O$41</definedName>
    <definedName name="_xlnm.Print_Area" localSheetId="20">'УК 1 кв. 2023г.'!$A$1:$P$42</definedName>
    <definedName name="_xlnm.Print_Area" localSheetId="12">'УК 1 кв. 2024г.'!$A$1:$P$42</definedName>
    <definedName name="_xlnm.Print_Area" localSheetId="35">'УК 1кв. 2021г.'!$A$1:$P$31</definedName>
    <definedName name="_xlnm.Print_Area" localSheetId="27">'УК 1кв. 2022г.'!$A$1:$P$39</definedName>
    <definedName name="_xlnm.Print_Area" localSheetId="41">'УК 2 кв. 2020г.'!$A$1:$O$49</definedName>
    <definedName name="_xlnm.Print_Area" localSheetId="18">'УК 2 кв. 2023г.'!$A$1:$P$42</definedName>
    <definedName name="_xlnm.Print_Area" localSheetId="10">'УК 2 кв. 2024г.'!$A$1:$P$42</definedName>
    <definedName name="_xlnm.Print_Area" localSheetId="33">'УК 2кв. 2021г.'!$A$1:$P$37</definedName>
    <definedName name="_xlnm.Print_Area" localSheetId="25">'УК 2кв. 2022г.'!$A$1:$P$39</definedName>
    <definedName name="_xlnm.Print_Area" localSheetId="39">'УК 3 кв. 2020г.'!$A$1:$P$38</definedName>
    <definedName name="_xlnm.Print_Area" localSheetId="16">'УК 3 кв. 2023г.'!$A$1:$P$42</definedName>
    <definedName name="_xlnm.Print_Area" localSheetId="8">'УК 3 кв. 2024г.'!$A$1:$P$39</definedName>
    <definedName name="_xlnm.Print_Area" localSheetId="31">'УК 3кв. 2021г.'!$A$1:$P$36</definedName>
    <definedName name="_xlnm.Print_Area" localSheetId="23">'УК 3кв. 2022г.'!$A$1:$P$42</definedName>
    <definedName name="_xlnm.Print_Area" localSheetId="45">'УК 4 кв. 2019г'!$A$1:$O$36</definedName>
    <definedName name="_xlnm.Print_Area" localSheetId="37">'УК 4 кв. 2020г.'!$A$1:$P$31</definedName>
    <definedName name="_xlnm.Print_Area" localSheetId="21">'УК 4 кв. 2022г.'!$A$1:$P$47</definedName>
    <definedName name="_xlnm.Print_Area" localSheetId="14">'УК 4 кв. 2023г.'!$A$1:$P$42</definedName>
    <definedName name="_xlnm.Print_Area" localSheetId="6">'УК 4 кв. 2024г.'!$A$1:$P$42</definedName>
    <definedName name="_xlnm.Print_Area" localSheetId="29">'УК 4кв. 2021г.'!$A$1:$P$37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59"/>
  <c r="N17"/>
  <c r="N18"/>
  <c r="N19"/>
  <c r="N20"/>
  <c r="N21"/>
  <c r="N22"/>
  <c r="N23"/>
  <c r="N24"/>
  <c r="N25"/>
  <c r="N26"/>
  <c r="N27"/>
  <c r="N28"/>
  <c r="N29"/>
  <c r="H16"/>
  <c r="I16"/>
  <c r="K16" s="1"/>
  <c r="J16"/>
  <c r="H17"/>
  <c r="I17"/>
  <c r="K17" s="1"/>
  <c r="J17"/>
  <c r="H18"/>
  <c r="I18"/>
  <c r="K18" s="1"/>
  <c r="J18"/>
  <c r="H19"/>
  <c r="I19"/>
  <c r="K19" s="1"/>
  <c r="J19"/>
  <c r="H20"/>
  <c r="I20"/>
  <c r="K20" s="1"/>
  <c r="J20"/>
  <c r="H21"/>
  <c r="I21"/>
  <c r="K21" s="1"/>
  <c r="J21"/>
  <c r="H22"/>
  <c r="I22"/>
  <c r="K22" s="1"/>
  <c r="J22"/>
  <c r="H23"/>
  <c r="I23"/>
  <c r="K23" s="1"/>
  <c r="J23"/>
  <c r="H24"/>
  <c r="I24"/>
  <c r="K24" s="1"/>
  <c r="J24"/>
  <c r="H25"/>
  <c r="I25"/>
  <c r="K25" s="1"/>
  <c r="J25"/>
  <c r="H26"/>
  <c r="I26"/>
  <c r="K26" s="1"/>
  <c r="J26"/>
  <c r="H27"/>
  <c r="I27"/>
  <c r="K27" s="1"/>
  <c r="J27"/>
  <c r="H28"/>
  <c r="I28"/>
  <c r="K28" s="1"/>
  <c r="J28"/>
  <c r="H29"/>
  <c r="I29"/>
  <c r="K29" s="1"/>
  <c r="J29"/>
  <c r="N15"/>
  <c r="J15"/>
  <c r="H15"/>
  <c r="W15"/>
  <c r="V15"/>
  <c r="Z22" i="58"/>
  <c r="W18" l="1"/>
  <c r="V18"/>
  <c r="V30" s="1"/>
  <c r="W16"/>
  <c r="A34" i="59"/>
  <c r="A3"/>
  <c r="W31"/>
  <c r="V31"/>
  <c r="AA30"/>
  <c r="Z30"/>
  <c r="AC29"/>
  <c r="AD29" s="1"/>
  <c r="T29"/>
  <c r="AC28"/>
  <c r="AD28" s="1"/>
  <c r="O28"/>
  <c r="AC27"/>
  <c r="AD27" s="1"/>
  <c r="O27"/>
  <c r="AC26"/>
  <c r="AD26" s="1"/>
  <c r="T26"/>
  <c r="AC25"/>
  <c r="AD25" s="1"/>
  <c r="AC24"/>
  <c r="AD24" s="1"/>
  <c r="O24"/>
  <c r="AC23"/>
  <c r="AD23" s="1"/>
  <c r="O23"/>
  <c r="AC22"/>
  <c r="AD22" s="1"/>
  <c r="AC21"/>
  <c r="AD21" s="1"/>
  <c r="AC20"/>
  <c r="AD20" s="1"/>
  <c r="O20"/>
  <c r="AC19"/>
  <c r="AD19" s="1"/>
  <c r="O19"/>
  <c r="AC18"/>
  <c r="AD18" s="1"/>
  <c r="O18"/>
  <c r="AC17"/>
  <c r="AD17" s="1"/>
  <c r="S17"/>
  <c r="AC16"/>
  <c r="AD16" s="1"/>
  <c r="I15"/>
  <c r="AC39" i="58"/>
  <c r="AC35"/>
  <c r="AC33"/>
  <c r="AC32"/>
  <c r="AC31"/>
  <c r="AC30"/>
  <c r="Z30"/>
  <c r="Y30"/>
  <c r="X30"/>
  <c r="AC29"/>
  <c r="AC28"/>
  <c r="AC27"/>
  <c r="AC26"/>
  <c r="AC22"/>
  <c r="AC18"/>
  <c r="AC17"/>
  <c r="AC16"/>
  <c r="I23" i="57"/>
  <c r="K23" s="1"/>
  <c r="Z19"/>
  <c r="H19"/>
  <c r="N16"/>
  <c r="N17"/>
  <c r="N18"/>
  <c r="N19"/>
  <c r="N20"/>
  <c r="N21"/>
  <c r="N22"/>
  <c r="N23"/>
  <c r="N24"/>
  <c r="N25"/>
  <c r="N26"/>
  <c r="N27"/>
  <c r="N28"/>
  <c r="N29"/>
  <c r="N15"/>
  <c r="H16"/>
  <c r="I16"/>
  <c r="K16" s="1"/>
  <c r="J16"/>
  <c r="H17"/>
  <c r="I17"/>
  <c r="K17" s="1"/>
  <c r="J17"/>
  <c r="H18"/>
  <c r="I18"/>
  <c r="K18" s="1"/>
  <c r="O18" s="1"/>
  <c r="J18"/>
  <c r="I19"/>
  <c r="K19" s="1"/>
  <c r="O19" s="1"/>
  <c r="J19"/>
  <c r="H20"/>
  <c r="I20"/>
  <c r="K20" s="1"/>
  <c r="O20" s="1"/>
  <c r="J20"/>
  <c r="H21"/>
  <c r="I21"/>
  <c r="K21" s="1"/>
  <c r="J21"/>
  <c r="H22"/>
  <c r="I22"/>
  <c r="K22" s="1"/>
  <c r="J22"/>
  <c r="H23"/>
  <c r="J23"/>
  <c r="H24"/>
  <c r="I24"/>
  <c r="K24" s="1"/>
  <c r="J24"/>
  <c r="H25"/>
  <c r="I25"/>
  <c r="K25" s="1"/>
  <c r="J25"/>
  <c r="H26"/>
  <c r="I26"/>
  <c r="K26" s="1"/>
  <c r="O26" s="1"/>
  <c r="J26"/>
  <c r="H27"/>
  <c r="I27"/>
  <c r="K27" s="1"/>
  <c r="O27" s="1"/>
  <c r="J27"/>
  <c r="H28"/>
  <c r="I28"/>
  <c r="K28" s="1"/>
  <c r="J28"/>
  <c r="H29"/>
  <c r="I29"/>
  <c r="K29" s="1"/>
  <c r="J29"/>
  <c r="J15"/>
  <c r="H15"/>
  <c r="V31"/>
  <c r="W15"/>
  <c r="W31" s="1"/>
  <c r="A34"/>
  <c r="A3"/>
  <c r="AA30"/>
  <c r="Z30"/>
  <c r="AC29"/>
  <c r="AD29" s="1"/>
  <c r="AC28"/>
  <c r="AD28" s="1"/>
  <c r="AC27"/>
  <c r="AD27" s="1"/>
  <c r="AC26"/>
  <c r="AD26" s="1"/>
  <c r="AC25"/>
  <c r="AD25" s="1"/>
  <c r="AC24"/>
  <c r="AC23"/>
  <c r="AD23" s="1"/>
  <c r="AC22"/>
  <c r="AD22" s="1"/>
  <c r="AC21"/>
  <c r="AC20"/>
  <c r="AD20" s="1"/>
  <c r="AC19"/>
  <c r="AD19" s="1"/>
  <c r="AC18"/>
  <c r="AD18" s="1"/>
  <c r="AC17"/>
  <c r="AD17" s="1"/>
  <c r="AC16"/>
  <c r="AD16" s="1"/>
  <c r="I15"/>
  <c r="K15" s="1"/>
  <c r="W25" i="56"/>
  <c r="W24"/>
  <c r="AC33"/>
  <c r="AC31"/>
  <c r="AC29"/>
  <c r="AC28"/>
  <c r="AC27"/>
  <c r="AC26"/>
  <c r="Z26"/>
  <c r="Y26"/>
  <c r="X26"/>
  <c r="V26"/>
  <c r="AC25"/>
  <c r="AC24"/>
  <c r="AC23"/>
  <c r="AC22"/>
  <c r="AC20"/>
  <c r="AC18"/>
  <c r="AC17"/>
  <c r="AC16"/>
  <c r="W29" i="55"/>
  <c r="AB23"/>
  <c r="Z19"/>
  <c r="I19" s="1"/>
  <c r="K19" s="1"/>
  <c r="O19" s="1"/>
  <c r="W17"/>
  <c r="W31" s="1"/>
  <c r="N29"/>
  <c r="N28"/>
  <c r="N27"/>
  <c r="N26"/>
  <c r="N25"/>
  <c r="N24"/>
  <c r="N23"/>
  <c r="N22"/>
  <c r="N21"/>
  <c r="N20"/>
  <c r="N19"/>
  <c r="N18"/>
  <c r="N17"/>
  <c r="N16"/>
  <c r="J29"/>
  <c r="I29"/>
  <c r="K29" s="1"/>
  <c r="H29"/>
  <c r="J28"/>
  <c r="I28"/>
  <c r="K28" s="1"/>
  <c r="H28"/>
  <c r="J27"/>
  <c r="I27"/>
  <c r="K27" s="1"/>
  <c r="O27" s="1"/>
  <c r="H27"/>
  <c r="J26"/>
  <c r="I26"/>
  <c r="K26" s="1"/>
  <c r="H26"/>
  <c r="J25"/>
  <c r="I25"/>
  <c r="K25" s="1"/>
  <c r="H25"/>
  <c r="J24"/>
  <c r="I24"/>
  <c r="K24" s="1"/>
  <c r="H24"/>
  <c r="J23"/>
  <c r="I23"/>
  <c r="K23" s="1"/>
  <c r="H23"/>
  <c r="J22"/>
  <c r="I22"/>
  <c r="K22" s="1"/>
  <c r="H22"/>
  <c r="J21"/>
  <c r="I21"/>
  <c r="H21"/>
  <c r="J20"/>
  <c r="I20"/>
  <c r="K20" s="1"/>
  <c r="H20"/>
  <c r="H19"/>
  <c r="J18"/>
  <c r="I18"/>
  <c r="K18" s="1"/>
  <c r="H18"/>
  <c r="J17"/>
  <c r="I17"/>
  <c r="K17" s="1"/>
  <c r="O17" s="1"/>
  <c r="J16"/>
  <c r="I16"/>
  <c r="K16" s="1"/>
  <c r="H16"/>
  <c r="N15"/>
  <c r="J15"/>
  <c r="H15"/>
  <c r="AC33" i="54"/>
  <c r="N18"/>
  <c r="N17"/>
  <c r="N26"/>
  <c r="N25"/>
  <c r="N24"/>
  <c r="N23"/>
  <c r="N21"/>
  <c r="J26"/>
  <c r="J25"/>
  <c r="J24"/>
  <c r="J23"/>
  <c r="J21"/>
  <c r="J18"/>
  <c r="J17"/>
  <c r="H21"/>
  <c r="H26"/>
  <c r="H25"/>
  <c r="H24"/>
  <c r="H23"/>
  <c r="H17"/>
  <c r="H18"/>
  <c r="N16"/>
  <c r="J16"/>
  <c r="H16"/>
  <c r="A34" i="55"/>
  <c r="A3"/>
  <c r="V31"/>
  <c r="AA30"/>
  <c r="AC29"/>
  <c r="AD29" s="1"/>
  <c r="AC28"/>
  <c r="AD28" s="1"/>
  <c r="AC27"/>
  <c r="AD27" s="1"/>
  <c r="AC26"/>
  <c r="AD26" s="1"/>
  <c r="AC25"/>
  <c r="AD25" s="1"/>
  <c r="AC24"/>
  <c r="V24"/>
  <c r="AC23"/>
  <c r="AD23" s="1"/>
  <c r="AC22"/>
  <c r="AD22" s="1"/>
  <c r="AC21"/>
  <c r="AD21" s="1"/>
  <c r="V21"/>
  <c r="AC20"/>
  <c r="AD20" s="1"/>
  <c r="AC19"/>
  <c r="AD19" s="1"/>
  <c r="AC18"/>
  <c r="AD18" s="1"/>
  <c r="AC17"/>
  <c r="AD17" s="1"/>
  <c r="AC16"/>
  <c r="AD16" s="1"/>
  <c r="I15"/>
  <c r="K15" s="1"/>
  <c r="O15" s="1"/>
  <c r="AC35" i="54"/>
  <c r="AC32"/>
  <c r="AC30"/>
  <c r="AC29"/>
  <c r="AC28"/>
  <c r="AC27"/>
  <c r="Z27"/>
  <c r="Y27"/>
  <c r="X27"/>
  <c r="W27"/>
  <c r="V27"/>
  <c r="AC26"/>
  <c r="I26"/>
  <c r="K26" s="1"/>
  <c r="AC25"/>
  <c r="I25"/>
  <c r="AC24"/>
  <c r="I24"/>
  <c r="K24" s="1"/>
  <c r="AC23"/>
  <c r="I23"/>
  <c r="K23" s="1"/>
  <c r="AC21"/>
  <c r="I21"/>
  <c r="AC18"/>
  <c r="I18"/>
  <c r="K18" s="1"/>
  <c r="AC17"/>
  <c r="I17"/>
  <c r="K17" s="1"/>
  <c r="AC16"/>
  <c r="I16"/>
  <c r="K16" s="1"/>
  <c r="N20" i="53"/>
  <c r="N18"/>
  <c r="X26"/>
  <c r="Y26"/>
  <c r="Z26"/>
  <c r="N17"/>
  <c r="N22"/>
  <c r="N23"/>
  <c r="N24"/>
  <c r="N25"/>
  <c r="N16"/>
  <c r="J17"/>
  <c r="J18"/>
  <c r="J20"/>
  <c r="J22"/>
  <c r="J23"/>
  <c r="J24"/>
  <c r="J25"/>
  <c r="J16"/>
  <c r="H17"/>
  <c r="H18"/>
  <c r="H20"/>
  <c r="H22"/>
  <c r="H23"/>
  <c r="H24"/>
  <c r="H25"/>
  <c r="H16"/>
  <c r="Z24" i="52"/>
  <c r="J24" s="1"/>
  <c r="N16"/>
  <c r="N17"/>
  <c r="N18"/>
  <c r="N19"/>
  <c r="N20"/>
  <c r="N21"/>
  <c r="N22"/>
  <c r="N23"/>
  <c r="N24"/>
  <c r="N25"/>
  <c r="N26"/>
  <c r="N27"/>
  <c r="N28"/>
  <c r="N29"/>
  <c r="W31"/>
  <c r="N15"/>
  <c r="I16"/>
  <c r="K16" s="1"/>
  <c r="J16"/>
  <c r="I17"/>
  <c r="K17" s="1"/>
  <c r="J17"/>
  <c r="I18"/>
  <c r="K18" s="1"/>
  <c r="J18"/>
  <c r="I19"/>
  <c r="K19" s="1"/>
  <c r="J19"/>
  <c r="I20"/>
  <c r="K20" s="1"/>
  <c r="J20"/>
  <c r="I21"/>
  <c r="K21" s="1"/>
  <c r="J21"/>
  <c r="I22"/>
  <c r="K22" s="1"/>
  <c r="Q22" s="1"/>
  <c r="J22"/>
  <c r="I23"/>
  <c r="J23"/>
  <c r="I25"/>
  <c r="K25" s="1"/>
  <c r="J25"/>
  <c r="I26"/>
  <c r="K26" s="1"/>
  <c r="O26" s="1"/>
  <c r="J26"/>
  <c r="I27"/>
  <c r="J27"/>
  <c r="I28"/>
  <c r="J28"/>
  <c r="I29"/>
  <c r="K29" s="1"/>
  <c r="J29"/>
  <c r="J15"/>
  <c r="H16"/>
  <c r="H17"/>
  <c r="H18"/>
  <c r="H19"/>
  <c r="H20"/>
  <c r="H21"/>
  <c r="H22"/>
  <c r="H23"/>
  <c r="H24"/>
  <c r="H25"/>
  <c r="H26"/>
  <c r="H27"/>
  <c r="H28"/>
  <c r="H29"/>
  <c r="H15"/>
  <c r="A34"/>
  <c r="A3"/>
  <c r="AC31" i="53"/>
  <c r="AC30"/>
  <c r="AC29"/>
  <c r="AC28"/>
  <c r="AC27"/>
  <c r="AC26"/>
  <c r="V26"/>
  <c r="AC25"/>
  <c r="I25"/>
  <c r="K25" s="1"/>
  <c r="AC24"/>
  <c r="I24"/>
  <c r="K24" s="1"/>
  <c r="AC23"/>
  <c r="I23"/>
  <c r="K23" s="1"/>
  <c r="AC22"/>
  <c r="I22"/>
  <c r="K22" s="1"/>
  <c r="AC20"/>
  <c r="I20"/>
  <c r="K20" s="1"/>
  <c r="AC18"/>
  <c r="I18"/>
  <c r="K18" s="1"/>
  <c r="AC17"/>
  <c r="I17"/>
  <c r="K17" s="1"/>
  <c r="AC16"/>
  <c r="I16"/>
  <c r="K16" s="1"/>
  <c r="V31" i="52"/>
  <c r="AA30"/>
  <c r="AC29"/>
  <c r="AD29" s="1"/>
  <c r="AC28"/>
  <c r="AD28" s="1"/>
  <c r="AC27"/>
  <c r="AD27" s="1"/>
  <c r="AC26"/>
  <c r="AD26" s="1"/>
  <c r="AC25"/>
  <c r="AD25" s="1"/>
  <c r="AC24"/>
  <c r="V24"/>
  <c r="AC23"/>
  <c r="AD23" s="1"/>
  <c r="AC22"/>
  <c r="AD22" s="1"/>
  <c r="AC21"/>
  <c r="AD21" s="1"/>
  <c r="V21"/>
  <c r="AC20"/>
  <c r="AD20" s="1"/>
  <c r="AC19"/>
  <c r="AD19" s="1"/>
  <c r="AC18"/>
  <c r="AD18" s="1"/>
  <c r="AC17"/>
  <c r="AD17" s="1"/>
  <c r="AC16"/>
  <c r="AD16" s="1"/>
  <c r="I15"/>
  <c r="K15" s="1"/>
  <c r="Z26" i="50"/>
  <c r="I26" s="1"/>
  <c r="K26" s="1"/>
  <c r="I23" i="51"/>
  <c r="K23" s="1"/>
  <c r="O23" s="1"/>
  <c r="I22"/>
  <c r="K22" s="1"/>
  <c r="I21"/>
  <c r="K21" s="1"/>
  <c r="I20"/>
  <c r="K20" s="1"/>
  <c r="I19"/>
  <c r="K19" s="1"/>
  <c r="I18"/>
  <c r="K18" s="1"/>
  <c r="I17"/>
  <c r="K17" s="1"/>
  <c r="I16"/>
  <c r="K16" s="1"/>
  <c r="N21"/>
  <c r="N22"/>
  <c r="N23"/>
  <c r="N20"/>
  <c r="N19"/>
  <c r="N18"/>
  <c r="N17"/>
  <c r="H17"/>
  <c r="J17"/>
  <c r="H18"/>
  <c r="J18"/>
  <c r="H19"/>
  <c r="J19"/>
  <c r="H20"/>
  <c r="J20"/>
  <c r="H21"/>
  <c r="J21"/>
  <c r="H22"/>
  <c r="J22"/>
  <c r="H23"/>
  <c r="J23"/>
  <c r="N16"/>
  <c r="W16"/>
  <c r="H16" s="1"/>
  <c r="I16" i="50"/>
  <c r="K16" s="1"/>
  <c r="I17"/>
  <c r="K17" s="1"/>
  <c r="I18"/>
  <c r="K18" s="1"/>
  <c r="I19"/>
  <c r="I20"/>
  <c r="K20" s="1"/>
  <c r="I21"/>
  <c r="K21" s="1"/>
  <c r="O21" s="1"/>
  <c r="I22"/>
  <c r="K22" s="1"/>
  <c r="O22" s="1"/>
  <c r="I23"/>
  <c r="I24"/>
  <c r="K24" s="1"/>
  <c r="I25"/>
  <c r="K25" s="1"/>
  <c r="I27"/>
  <c r="K27" s="1"/>
  <c r="I28"/>
  <c r="K28" s="1"/>
  <c r="I29"/>
  <c r="K29" s="1"/>
  <c r="O29" s="1"/>
  <c r="I15"/>
  <c r="K15" s="1"/>
  <c r="K19"/>
  <c r="N23"/>
  <c r="V31"/>
  <c r="V21"/>
  <c r="W15"/>
  <c r="N16"/>
  <c r="N17"/>
  <c r="N18"/>
  <c r="N19"/>
  <c r="N20"/>
  <c r="N21"/>
  <c r="N22"/>
  <c r="N24"/>
  <c r="N25"/>
  <c r="N26"/>
  <c r="N27"/>
  <c r="N28"/>
  <c r="N29"/>
  <c r="N15"/>
  <c r="H16"/>
  <c r="J16"/>
  <c r="H17"/>
  <c r="J17"/>
  <c r="H18"/>
  <c r="J18"/>
  <c r="H19"/>
  <c r="J19"/>
  <c r="H20"/>
  <c r="J20"/>
  <c r="J21"/>
  <c r="H22"/>
  <c r="J22"/>
  <c r="H23"/>
  <c r="K23"/>
  <c r="O23" s="1"/>
  <c r="J23"/>
  <c r="H24"/>
  <c r="J24"/>
  <c r="H25"/>
  <c r="J25"/>
  <c r="H26"/>
  <c r="J26"/>
  <c r="H27"/>
  <c r="J27"/>
  <c r="H28"/>
  <c r="J28"/>
  <c r="H29"/>
  <c r="J29"/>
  <c r="J15"/>
  <c r="H15"/>
  <c r="A3"/>
  <c r="A34"/>
  <c r="Z30" i="51"/>
  <c r="Y30"/>
  <c r="AC29"/>
  <c r="AC28"/>
  <c r="AC27"/>
  <c r="AC26"/>
  <c r="AC25"/>
  <c r="AC24"/>
  <c r="AC23"/>
  <c r="AC22"/>
  <c r="AC21"/>
  <c r="V24"/>
  <c r="AC20"/>
  <c r="AC19"/>
  <c r="AC18"/>
  <c r="AC17"/>
  <c r="AC16"/>
  <c r="AA30" i="50"/>
  <c r="AC29"/>
  <c r="AD29" s="1"/>
  <c r="AC28"/>
  <c r="AD28" s="1"/>
  <c r="V28"/>
  <c r="AC27"/>
  <c r="AD27" s="1"/>
  <c r="AC26"/>
  <c r="AD26" s="1"/>
  <c r="AC25"/>
  <c r="AD25" s="1"/>
  <c r="AC24"/>
  <c r="V24"/>
  <c r="AC23"/>
  <c r="AD23" s="1"/>
  <c r="AC22"/>
  <c r="AD22" s="1"/>
  <c r="AC21"/>
  <c r="AC20"/>
  <c r="AD20" s="1"/>
  <c r="AC19"/>
  <c r="AD19" s="1"/>
  <c r="AC18"/>
  <c r="AD18" s="1"/>
  <c r="AC17"/>
  <c r="AD17" s="1"/>
  <c r="AC16"/>
  <c r="AD16" s="1"/>
  <c r="Z17" i="48"/>
  <c r="Z19"/>
  <c r="Z26"/>
  <c r="I28"/>
  <c r="R17" i="58" l="1"/>
  <c r="R26"/>
  <c r="K15" i="59"/>
  <c r="S15" s="1"/>
  <c r="T28"/>
  <c r="T27"/>
  <c r="T25"/>
  <c r="T24"/>
  <c r="T23"/>
  <c r="T22"/>
  <c r="S22"/>
  <c r="T21"/>
  <c r="T20"/>
  <c r="T19"/>
  <c r="T18"/>
  <c r="T17"/>
  <c r="T16"/>
  <c r="T15"/>
  <c r="S16" i="58"/>
  <c r="S26"/>
  <c r="R16"/>
  <c r="S29"/>
  <c r="S27"/>
  <c r="S22"/>
  <c r="S18"/>
  <c r="R18"/>
  <c r="S17"/>
  <c r="W30"/>
  <c r="O22" i="59"/>
  <c r="Q22"/>
  <c r="Q25"/>
  <c r="S25"/>
  <c r="O25"/>
  <c r="O17"/>
  <c r="Q17"/>
  <c r="Q21"/>
  <c r="S21"/>
  <c r="O21"/>
  <c r="O26"/>
  <c r="Q26"/>
  <c r="Q29"/>
  <c r="S29"/>
  <c r="O29"/>
  <c r="Q16"/>
  <c r="S16"/>
  <c r="O16"/>
  <c r="S26"/>
  <c r="S18"/>
  <c r="S23"/>
  <c r="S27"/>
  <c r="Q18"/>
  <c r="S19"/>
  <c r="S20"/>
  <c r="Q23"/>
  <c r="S24"/>
  <c r="Q27"/>
  <c r="S28"/>
  <c r="Q19"/>
  <c r="Q20"/>
  <c r="Q24"/>
  <c r="Q28"/>
  <c r="R29" i="58"/>
  <c r="S28"/>
  <c r="R27"/>
  <c r="O15" i="57"/>
  <c r="O17"/>
  <c r="S29"/>
  <c r="T29"/>
  <c r="T28"/>
  <c r="T27"/>
  <c r="T26"/>
  <c r="T25"/>
  <c r="S25"/>
  <c r="S24"/>
  <c r="T23"/>
  <c r="T22"/>
  <c r="T20"/>
  <c r="T19"/>
  <c r="T18"/>
  <c r="T17"/>
  <c r="T16"/>
  <c r="S16"/>
  <c r="AD21"/>
  <c r="AD24"/>
  <c r="T15"/>
  <c r="O23"/>
  <c r="Q23"/>
  <c r="O16"/>
  <c r="Q16"/>
  <c r="Q22"/>
  <c r="S22"/>
  <c r="O22"/>
  <c r="O25"/>
  <c r="Q25"/>
  <c r="Q28"/>
  <c r="S28"/>
  <c r="O28"/>
  <c r="O29"/>
  <c r="Q29"/>
  <c r="Q21"/>
  <c r="S21"/>
  <c r="O21"/>
  <c r="O24"/>
  <c r="Q24"/>
  <c r="S23"/>
  <c r="S15"/>
  <c r="S17"/>
  <c r="S18"/>
  <c r="S26"/>
  <c r="Q15"/>
  <c r="Q17"/>
  <c r="Q18"/>
  <c r="S19"/>
  <c r="S20"/>
  <c r="T21"/>
  <c r="Q26"/>
  <c r="S27"/>
  <c r="Q19"/>
  <c r="Q20"/>
  <c r="T24"/>
  <c r="Q27"/>
  <c r="S25" i="56"/>
  <c r="S20"/>
  <c r="W26"/>
  <c r="S16"/>
  <c r="S17"/>
  <c r="S18"/>
  <c r="S22"/>
  <c r="S23"/>
  <c r="R25"/>
  <c r="S24"/>
  <c r="R23"/>
  <c r="R17"/>
  <c r="R18"/>
  <c r="R16"/>
  <c r="R22"/>
  <c r="T16" i="55"/>
  <c r="T22"/>
  <c r="AD24"/>
  <c r="T21"/>
  <c r="T28"/>
  <c r="T27"/>
  <c r="T26"/>
  <c r="T25"/>
  <c r="J19"/>
  <c r="S19" s="1"/>
  <c r="Z30"/>
  <c r="T19"/>
  <c r="H17"/>
  <c r="T17" s="1"/>
  <c r="T15"/>
  <c r="O22"/>
  <c r="O16"/>
  <c r="O20"/>
  <c r="O28"/>
  <c r="T18"/>
  <c r="T20"/>
  <c r="T23"/>
  <c r="T29"/>
  <c r="K21"/>
  <c r="O21" s="1"/>
  <c r="O24" i="54"/>
  <c r="S21"/>
  <c r="O26"/>
  <c r="S23"/>
  <c r="S18"/>
  <c r="S25"/>
  <c r="S26"/>
  <c r="K25"/>
  <c r="P25" s="1"/>
  <c r="S24"/>
  <c r="K21"/>
  <c r="O21" s="1"/>
  <c r="R18"/>
  <c r="S17"/>
  <c r="O17"/>
  <c r="S16"/>
  <c r="Q23" i="55"/>
  <c r="S23"/>
  <c r="O23"/>
  <c r="S26"/>
  <c r="Q25"/>
  <c r="S25"/>
  <c r="O25"/>
  <c r="Q18"/>
  <c r="S18"/>
  <c r="O18"/>
  <c r="Q26"/>
  <c r="O26"/>
  <c r="Q29"/>
  <c r="S29"/>
  <c r="O29"/>
  <c r="S15"/>
  <c r="Q16"/>
  <c r="S17"/>
  <c r="Q20"/>
  <c r="S22"/>
  <c r="Q27"/>
  <c r="S28"/>
  <c r="S16"/>
  <c r="S20"/>
  <c r="S27"/>
  <c r="Q15"/>
  <c r="Q17"/>
  <c r="Q22"/>
  <c r="T24"/>
  <c r="Q28"/>
  <c r="R23" i="54"/>
  <c r="R26"/>
  <c r="P16"/>
  <c r="O16"/>
  <c r="R16"/>
  <c r="O18"/>
  <c r="P18"/>
  <c r="P23"/>
  <c r="O23"/>
  <c r="R17"/>
  <c r="R24"/>
  <c r="P17"/>
  <c r="P24"/>
  <c r="P26"/>
  <c r="S22" i="53"/>
  <c r="S25"/>
  <c r="S24"/>
  <c r="S23"/>
  <c r="S20"/>
  <c r="S18"/>
  <c r="S17"/>
  <c r="S16"/>
  <c r="R20"/>
  <c r="P18"/>
  <c r="T20" i="52"/>
  <c r="T16"/>
  <c r="T28"/>
  <c r="T26"/>
  <c r="T22"/>
  <c r="K27"/>
  <c r="O27" s="1"/>
  <c r="Q21"/>
  <c r="K28"/>
  <c r="Q28" s="1"/>
  <c r="I24"/>
  <c r="K24" s="1"/>
  <c r="Q24" s="1"/>
  <c r="Z30"/>
  <c r="K23"/>
  <c r="O23" s="1"/>
  <c r="O29"/>
  <c r="O16"/>
  <c r="T19"/>
  <c r="Q17"/>
  <c r="T15"/>
  <c r="T27"/>
  <c r="T23"/>
  <c r="T18"/>
  <c r="O20"/>
  <c r="Q20"/>
  <c r="S16"/>
  <c r="Q26"/>
  <c r="T29"/>
  <c r="T25"/>
  <c r="T17"/>
  <c r="S15"/>
  <c r="T21"/>
  <c r="R17" i="53"/>
  <c r="P24"/>
  <c r="P22"/>
  <c r="O25"/>
  <c r="P25"/>
  <c r="P17"/>
  <c r="O17"/>
  <c r="O16"/>
  <c r="O20"/>
  <c r="P20"/>
  <c r="R23"/>
  <c r="O23"/>
  <c r="P23"/>
  <c r="R25"/>
  <c r="R18"/>
  <c r="R24"/>
  <c r="R16"/>
  <c r="O18"/>
  <c r="O22"/>
  <c r="O24"/>
  <c r="W26"/>
  <c r="R22"/>
  <c r="O15" i="52"/>
  <c r="Q15"/>
  <c r="O19"/>
  <c r="Q19"/>
  <c r="S19"/>
  <c r="O25"/>
  <c r="Q25"/>
  <c r="S25"/>
  <c r="O18"/>
  <c r="Q18"/>
  <c r="S18"/>
  <c r="Q16"/>
  <c r="S17"/>
  <c r="O17"/>
  <c r="O21"/>
  <c r="O22"/>
  <c r="AD24"/>
  <c r="S20"/>
  <c r="S26"/>
  <c r="S27"/>
  <c r="S21"/>
  <c r="S22"/>
  <c r="S29"/>
  <c r="Q29"/>
  <c r="J16" i="51"/>
  <c r="R16" s="1"/>
  <c r="W24"/>
  <c r="O20"/>
  <c r="R17"/>
  <c r="S22"/>
  <c r="O16"/>
  <c r="S23"/>
  <c r="S21"/>
  <c r="S20"/>
  <c r="S19"/>
  <c r="S18"/>
  <c r="S17"/>
  <c r="S16"/>
  <c r="S27" i="50"/>
  <c r="T22"/>
  <c r="T18"/>
  <c r="S26"/>
  <c r="AD24"/>
  <c r="AD21"/>
  <c r="T29"/>
  <c r="T25"/>
  <c r="T28"/>
  <c r="T27"/>
  <c r="T26"/>
  <c r="T23"/>
  <c r="T20"/>
  <c r="T19"/>
  <c r="T17"/>
  <c r="T16"/>
  <c r="H21"/>
  <c r="T21" s="1"/>
  <c r="O28"/>
  <c r="O16"/>
  <c r="R20" i="51"/>
  <c r="R19"/>
  <c r="O18"/>
  <c r="P18"/>
  <c r="O21"/>
  <c r="P21"/>
  <c r="P22"/>
  <c r="R22"/>
  <c r="O22"/>
  <c r="O17"/>
  <c r="P17"/>
  <c r="O19"/>
  <c r="P19"/>
  <c r="R18"/>
  <c r="R21"/>
  <c r="P16"/>
  <c r="P20"/>
  <c r="R23"/>
  <c r="P23"/>
  <c r="S29" i="50"/>
  <c r="O20"/>
  <c r="Q20"/>
  <c r="Q25"/>
  <c r="S25"/>
  <c r="O25"/>
  <c r="Q17"/>
  <c r="O17"/>
  <c r="O27"/>
  <c r="Q27"/>
  <c r="S19"/>
  <c r="O15"/>
  <c r="S15"/>
  <c r="Q15"/>
  <c r="Q19"/>
  <c r="O19"/>
  <c r="Q24"/>
  <c r="S24"/>
  <c r="O24"/>
  <c r="Q18"/>
  <c r="S18"/>
  <c r="O18"/>
  <c r="O26"/>
  <c r="Q26"/>
  <c r="T15"/>
  <c r="S17"/>
  <c r="S20"/>
  <c r="S22"/>
  <c r="S28"/>
  <c r="S16"/>
  <c r="Q21"/>
  <c r="Q22"/>
  <c r="S23"/>
  <c r="T24"/>
  <c r="Q28"/>
  <c r="Q29"/>
  <c r="Z30"/>
  <c r="S21"/>
  <c r="Q16"/>
  <c r="Q23"/>
  <c r="H17" i="49"/>
  <c r="I17"/>
  <c r="K17" s="1"/>
  <c r="J17"/>
  <c r="H18"/>
  <c r="I18"/>
  <c r="K18" s="1"/>
  <c r="J18"/>
  <c r="H19"/>
  <c r="I19"/>
  <c r="K19" s="1"/>
  <c r="J19"/>
  <c r="H20"/>
  <c r="I20"/>
  <c r="K20" s="1"/>
  <c r="J20"/>
  <c r="H21"/>
  <c r="I21"/>
  <c r="K21" s="1"/>
  <c r="O21" s="1"/>
  <c r="J21"/>
  <c r="H22"/>
  <c r="I22"/>
  <c r="K22" s="1"/>
  <c r="J22"/>
  <c r="H23"/>
  <c r="I23"/>
  <c r="K23" s="1"/>
  <c r="J23"/>
  <c r="J16"/>
  <c r="I16"/>
  <c r="K16" s="1"/>
  <c r="H16"/>
  <c r="AB17"/>
  <c r="AB18"/>
  <c r="AB19"/>
  <c r="AB20"/>
  <c r="AB21"/>
  <c r="AB22"/>
  <c r="AB23"/>
  <c r="AB16"/>
  <c r="V21"/>
  <c r="Z30"/>
  <c r="AB29"/>
  <c r="AB28"/>
  <c r="AB27"/>
  <c r="AB26"/>
  <c r="AB25"/>
  <c r="AB24"/>
  <c r="Y30"/>
  <c r="J29" i="48"/>
  <c r="V24"/>
  <c r="I24"/>
  <c r="I15"/>
  <c r="K15" s="1"/>
  <c r="O15" s="1"/>
  <c r="Z15"/>
  <c r="V15"/>
  <c r="V28"/>
  <c r="N28"/>
  <c r="AC17"/>
  <c r="AD17" s="1"/>
  <c r="AC18"/>
  <c r="AD18" s="1"/>
  <c r="AC19"/>
  <c r="AD19" s="1"/>
  <c r="AC20"/>
  <c r="AD20" s="1"/>
  <c r="AC2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16"/>
  <c r="AD16" s="1"/>
  <c r="V21"/>
  <c r="N29"/>
  <c r="N27"/>
  <c r="N26"/>
  <c r="N25"/>
  <c r="N24"/>
  <c r="N23"/>
  <c r="N22"/>
  <c r="N21"/>
  <c r="N20"/>
  <c r="N19"/>
  <c r="N18"/>
  <c r="N17"/>
  <c r="N16"/>
  <c r="N15"/>
  <c r="A34"/>
  <c r="A3"/>
  <c r="W24" i="49"/>
  <c r="V24"/>
  <c r="N23"/>
  <c r="N22"/>
  <c r="N21"/>
  <c r="N20"/>
  <c r="N19"/>
  <c r="N18"/>
  <c r="N17"/>
  <c r="N16"/>
  <c r="AA30" i="48"/>
  <c r="I16" i="47"/>
  <c r="I20"/>
  <c r="I19"/>
  <c r="I21"/>
  <c r="I18"/>
  <c r="I23"/>
  <c r="I17"/>
  <c r="I22"/>
  <c r="A46" i="46"/>
  <c r="I23"/>
  <c r="Z23" s="1"/>
  <c r="Z16"/>
  <c r="Z17"/>
  <c r="Z18"/>
  <c r="Z19"/>
  <c r="Z20"/>
  <c r="Z21"/>
  <c r="Z22"/>
  <c r="Z24"/>
  <c r="Z25"/>
  <c r="Z26"/>
  <c r="Z27"/>
  <c r="Z28"/>
  <c r="Z29"/>
  <c r="Z15"/>
  <c r="A3"/>
  <c r="W24" i="47"/>
  <c r="V24"/>
  <c r="X31" i="46"/>
  <c r="AA30"/>
  <c r="W31"/>
  <c r="AB16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V15"/>
  <c r="V31" s="1"/>
  <c r="I23" i="44"/>
  <c r="I21"/>
  <c r="W29"/>
  <c r="W30" s="1"/>
  <c r="X31"/>
  <c r="W24" i="45"/>
  <c r="A46" i="44"/>
  <c r="A3"/>
  <c r="V24" i="45"/>
  <c r="AA30" i="44"/>
  <c r="Z29"/>
  <c r="Z28"/>
  <c r="Z27"/>
  <c r="Z26"/>
  <c r="Z25"/>
  <c r="Z24"/>
  <c r="Z23"/>
  <c r="Z22"/>
  <c r="Z21"/>
  <c r="Z20"/>
  <c r="Z19"/>
  <c r="Z18"/>
  <c r="Z17"/>
  <c r="AB16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Z16"/>
  <c r="Z15"/>
  <c r="V15"/>
  <c r="V30" s="1"/>
  <c r="AB16" i="43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AA30"/>
  <c r="Z29"/>
  <c r="W30"/>
  <c r="V30"/>
  <c r="Z28"/>
  <c r="Z27"/>
  <c r="Z26"/>
  <c r="Z25"/>
  <c r="Z24"/>
  <c r="W24"/>
  <c r="Z23"/>
  <c r="Z22"/>
  <c r="Z21"/>
  <c r="Z20"/>
  <c r="Z19"/>
  <c r="Z18"/>
  <c r="Z17"/>
  <c r="Z16"/>
  <c r="Z15"/>
  <c r="V15"/>
  <c r="R24" i="56" l="1"/>
  <c r="R20"/>
  <c r="O15" i="59"/>
  <c r="O30" s="1"/>
  <c r="Q15"/>
  <c r="S30"/>
  <c r="O30" i="57"/>
  <c r="S30"/>
  <c r="Q21" i="55"/>
  <c r="S21"/>
  <c r="Q19"/>
  <c r="R25" i="54"/>
  <c r="O25"/>
  <c r="R21"/>
  <c r="P21"/>
  <c r="Q24" i="55"/>
  <c r="O24"/>
  <c r="O30" s="1"/>
  <c r="S24"/>
  <c r="S30" s="1"/>
  <c r="S28" i="52"/>
  <c r="O28"/>
  <c r="O24"/>
  <c r="S24"/>
  <c r="Q27"/>
  <c r="T24"/>
  <c r="Q23"/>
  <c r="S23"/>
  <c r="P16" i="53"/>
  <c r="O30" i="50"/>
  <c r="S30"/>
  <c r="AD21" i="48"/>
  <c r="S17" i="49"/>
  <c r="S20"/>
  <c r="P17"/>
  <c r="R16"/>
  <c r="S16"/>
  <c r="S23"/>
  <c r="R21"/>
  <c r="R22"/>
  <c r="S22"/>
  <c r="S18"/>
  <c r="S21"/>
  <c r="S19"/>
  <c r="P21"/>
  <c r="R17"/>
  <c r="R20"/>
  <c r="P18"/>
  <c r="O18"/>
  <c r="O23"/>
  <c r="P23"/>
  <c r="R23"/>
  <c r="O19"/>
  <c r="P19"/>
  <c r="P22"/>
  <c r="O22"/>
  <c r="R18"/>
  <c r="R19"/>
  <c r="O17"/>
  <c r="O16"/>
  <c r="O20"/>
  <c r="P16"/>
  <c r="P20"/>
  <c r="V31" i="44"/>
  <c r="Z30" i="46"/>
  <c r="W30"/>
  <c r="V30"/>
  <c r="W31" i="44"/>
  <c r="Z30"/>
  <c r="I15" i="43"/>
  <c r="A3"/>
  <c r="Z30"/>
  <c r="I29"/>
  <c r="I28"/>
  <c r="I27"/>
  <c r="I26"/>
  <c r="I25"/>
  <c r="I24"/>
  <c r="I23"/>
  <c r="I22"/>
  <c r="I21"/>
  <c r="I20"/>
  <c r="I19"/>
  <c r="I18"/>
  <c r="I17"/>
  <c r="I16"/>
  <c r="W21" i="42"/>
  <c r="V24"/>
  <c r="A45" i="41"/>
  <c r="I15"/>
  <c r="Z30"/>
  <c r="I16"/>
  <c r="I17"/>
  <c r="I18"/>
  <c r="I19"/>
  <c r="I20"/>
  <c r="I21"/>
  <c r="I22"/>
  <c r="I23"/>
  <c r="I24"/>
  <c r="I25"/>
  <c r="I26"/>
  <c r="I27"/>
  <c r="I28"/>
  <c r="I29"/>
  <c r="V29"/>
  <c r="V28"/>
  <c r="V27"/>
  <c r="V26"/>
  <c r="V25"/>
  <c r="V24"/>
  <c r="V23"/>
  <c r="V22"/>
  <c r="V21"/>
  <c r="V20"/>
  <c r="V19"/>
  <c r="V18"/>
  <c r="V17"/>
  <c r="V16"/>
  <c r="V15"/>
  <c r="A3"/>
  <c r="Y30"/>
  <c r="I20" i="40"/>
  <c r="I21"/>
  <c r="I22"/>
  <c r="I17"/>
  <c r="I19"/>
  <c r="I18"/>
  <c r="I23"/>
  <c r="I16"/>
  <c r="V17"/>
  <c r="V24" s="1"/>
  <c r="W16"/>
  <c r="A3" i="38"/>
  <c r="A45"/>
  <c r="I16"/>
  <c r="I17"/>
  <c r="I18"/>
  <c r="I19"/>
  <c r="I20"/>
  <c r="I21"/>
  <c r="I22"/>
  <c r="I23"/>
  <c r="I24"/>
  <c r="I25"/>
  <c r="I26"/>
  <c r="I27"/>
  <c r="I28"/>
  <c r="I29"/>
  <c r="I15"/>
  <c r="Y30"/>
  <c r="V19"/>
  <c r="N22" i="39"/>
  <c r="V16"/>
  <c r="V29" s="1"/>
  <c r="W29"/>
  <c r="W16" i="37"/>
  <c r="W28" s="1"/>
  <c r="I25"/>
  <c r="I24"/>
  <c r="I23"/>
  <c r="I22"/>
  <c r="I21"/>
  <c r="I18"/>
  <c r="I17"/>
  <c r="I16"/>
  <c r="I23" i="36"/>
  <c r="Y25"/>
  <c r="Y24"/>
  <c r="Y21"/>
  <c r="I29"/>
  <c r="I28"/>
  <c r="I27"/>
  <c r="I26"/>
  <c r="I24"/>
  <c r="I25"/>
  <c r="I22"/>
  <c r="I21"/>
  <c r="I20"/>
  <c r="I19"/>
  <c r="I18"/>
  <c r="I17"/>
  <c r="I16"/>
  <c r="I15"/>
  <c r="A3"/>
  <c r="A45"/>
  <c r="Z31"/>
  <c r="Z30"/>
  <c r="Y29" i="35"/>
  <c r="Y28"/>
  <c r="Y27"/>
  <c r="Y25"/>
  <c r="Y26"/>
  <c r="Y24"/>
  <c r="Y23"/>
  <c r="Y15"/>
  <c r="Y22"/>
  <c r="Y21"/>
  <c r="Y20"/>
  <c r="Y19"/>
  <c r="Y18"/>
  <c r="Y17"/>
  <c r="Y16"/>
  <c r="I15"/>
  <c r="I24"/>
  <c r="I29"/>
  <c r="I28"/>
  <c r="I27"/>
  <c r="I26"/>
  <c r="I25"/>
  <c r="I23"/>
  <c r="I22"/>
  <c r="I21"/>
  <c r="I20"/>
  <c r="I19"/>
  <c r="I16"/>
  <c r="Z31"/>
  <c r="Z29"/>
  <c r="Z28"/>
  <c r="Z27"/>
  <c r="Z26"/>
  <c r="Z25"/>
  <c r="Z24"/>
  <c r="Z23"/>
  <c r="Z22"/>
  <c r="Z21"/>
  <c r="Z20"/>
  <c r="Z19"/>
  <c r="Z18"/>
  <c r="Z17"/>
  <c r="Z16"/>
  <c r="Z15"/>
  <c r="A45"/>
  <c r="A3"/>
  <c r="V18" i="34"/>
  <c r="W23"/>
  <c r="N22"/>
  <c r="N24" i="37" s="1"/>
  <c r="N26" i="39" s="1"/>
  <c r="N22" i="40" s="1"/>
  <c r="N22" i="42" s="1"/>
  <c r="N22" i="45" s="1"/>
  <c r="N22" i="47" s="1"/>
  <c r="X21" i="33"/>
  <c r="R28" i="58" l="1"/>
  <c r="R22"/>
  <c r="O30" i="52"/>
  <c r="S30"/>
  <c r="W24" i="40"/>
  <c r="W24" i="42"/>
  <c r="Y30" i="36"/>
  <c r="V28" i="37"/>
  <c r="Z30" i="35"/>
  <c r="Y30"/>
  <c r="V24" i="34"/>
  <c r="W24"/>
  <c r="I18" i="33"/>
  <c r="K22"/>
  <c r="V24"/>
  <c r="W22"/>
  <c r="W16"/>
  <c r="I25" i="32"/>
  <c r="I24"/>
  <c r="I18"/>
  <c r="I15"/>
  <c r="I15" i="31"/>
  <c r="Y28" i="32"/>
  <c r="Z28"/>
  <c r="Z30" s="1"/>
  <c r="A3"/>
  <c r="A45"/>
  <c r="Y29"/>
  <c r="Y19"/>
  <c r="J22" i="33" l="1"/>
  <c r="H22"/>
  <c r="H22" i="34" s="1"/>
  <c r="W24" i="33"/>
  <c r="O22"/>
  <c r="K22" i="34"/>
  <c r="Y30" i="32"/>
  <c r="I29" i="31"/>
  <c r="I26"/>
  <c r="I22"/>
  <c r="I21"/>
  <c r="I32"/>
  <c r="I30"/>
  <c r="I28"/>
  <c r="I27"/>
  <c r="I23"/>
  <c r="I20"/>
  <c r="I19"/>
  <c r="I18"/>
  <c r="I17"/>
  <c r="I16"/>
  <c r="A48"/>
  <c r="A3"/>
  <c r="Z33"/>
  <c r="Y32"/>
  <c r="Y19"/>
  <c r="I19" i="30"/>
  <c r="I18"/>
  <c r="J22"/>
  <c r="I22"/>
  <c r="H22"/>
  <c r="I21"/>
  <c r="V21"/>
  <c r="V20"/>
  <c r="I20"/>
  <c r="V19"/>
  <c r="I21" i="28"/>
  <c r="V18" i="30"/>
  <c r="V17"/>
  <c r="I17"/>
  <c r="V16"/>
  <c r="I16"/>
  <c r="N22"/>
  <c r="N23" i="33" s="1"/>
  <c r="N23" i="34" s="1"/>
  <c r="N25" i="37" s="1"/>
  <c r="N27" i="39" s="1"/>
  <c r="N23" i="40" s="1"/>
  <c r="N23" i="42" s="1"/>
  <c r="N23" i="45" s="1"/>
  <c r="N23" i="47" s="1"/>
  <c r="K22" i="30"/>
  <c r="A43" i="29"/>
  <c r="A3"/>
  <c r="I27"/>
  <c r="I22"/>
  <c r="I17"/>
  <c r="I15"/>
  <c r="I15" i="27"/>
  <c r="Y27" i="29"/>
  <c r="Y19"/>
  <c r="Z35"/>
  <c r="Y34"/>
  <c r="V16" i="28"/>
  <c r="I22" i="26"/>
  <c r="N21" i="28"/>
  <c r="N21" i="30" s="1"/>
  <c r="N21" i="33" s="1"/>
  <c r="N21" i="34" s="1"/>
  <c r="N23" i="37" s="1"/>
  <c r="N25" i="39" s="1"/>
  <c r="N21" i="40" s="1"/>
  <c r="N21" i="42" s="1"/>
  <c r="N21" i="45" s="1"/>
  <c r="N21" i="47" s="1"/>
  <c r="I18" i="28"/>
  <c r="V21"/>
  <c r="V20"/>
  <c r="V19"/>
  <c r="V18"/>
  <c r="V17"/>
  <c r="N27" i="27"/>
  <c r="V27" s="1"/>
  <c r="I16" i="26"/>
  <c r="I35" i="27"/>
  <c r="I17"/>
  <c r="I37"/>
  <c r="I19"/>
  <c r="I31"/>
  <c r="I22"/>
  <c r="I34"/>
  <c r="Y27"/>
  <c r="I27"/>
  <c r="N17"/>
  <c r="N17" i="29" s="1"/>
  <c r="N17" i="31" s="1"/>
  <c r="N17" i="32" s="1"/>
  <c r="N17" i="35" s="1"/>
  <c r="N17" i="36" s="1"/>
  <c r="A50" i="27"/>
  <c r="A3"/>
  <c r="Z39"/>
  <c r="Y37"/>
  <c r="W15"/>
  <c r="V22" i="26"/>
  <c r="V20"/>
  <c r="V19"/>
  <c r="V18"/>
  <c r="V17"/>
  <c r="V16"/>
  <c r="I20"/>
  <c r="I19"/>
  <c r="N22"/>
  <c r="N17"/>
  <c r="N17" i="28" s="1"/>
  <c r="N17" i="30" s="1"/>
  <c r="N17" i="33" s="1"/>
  <c r="N17" i="34" s="1"/>
  <c r="N17" i="37" s="1"/>
  <c r="N17" i="39" s="1"/>
  <c r="N17" i="40" s="1"/>
  <c r="N17" i="42" s="1"/>
  <c r="N17" i="45" s="1"/>
  <c r="N17" i="47" s="1"/>
  <c r="N16" i="26"/>
  <c r="N16" i="28" s="1"/>
  <c r="N16" i="30" s="1"/>
  <c r="N16" i="33" s="1"/>
  <c r="N16" i="34" s="1"/>
  <c r="N16" i="37" s="1"/>
  <c r="N16" i="39" s="1"/>
  <c r="N16" i="40" s="1"/>
  <c r="N16" i="42" s="1"/>
  <c r="N16" i="45" s="1"/>
  <c r="N16" i="47" s="1"/>
  <c r="W15" i="25"/>
  <c r="I15" s="1"/>
  <c r="I23"/>
  <c r="I21"/>
  <c r="I29"/>
  <c r="I28"/>
  <c r="I27"/>
  <c r="I26"/>
  <c r="I25"/>
  <c r="I24"/>
  <c r="I22"/>
  <c r="I20"/>
  <c r="I17"/>
  <c r="I16"/>
  <c r="Z30"/>
  <c r="N16"/>
  <c r="N16" i="27" s="1"/>
  <c r="N16" i="29" s="1"/>
  <c r="N16" i="31" s="1"/>
  <c r="N16" i="32" s="1"/>
  <c r="N16" i="35" s="1"/>
  <c r="N16" i="36" s="1"/>
  <c r="N17" i="25"/>
  <c r="N20"/>
  <c r="N20" i="27" s="1"/>
  <c r="N20" i="29" s="1"/>
  <c r="N20" i="31" s="1"/>
  <c r="N20" i="32" s="1"/>
  <c r="N20" i="35" s="1"/>
  <c r="N20" i="36" s="1"/>
  <c r="N21" i="25"/>
  <c r="N21" i="27" s="1"/>
  <c r="N21" i="29" s="1"/>
  <c r="N21" i="31" s="1"/>
  <c r="N21" i="32" s="1"/>
  <c r="N21" i="35" s="1"/>
  <c r="N21" i="36" s="1"/>
  <c r="N23" i="25"/>
  <c r="V23" s="1"/>
  <c r="N24"/>
  <c r="N31" i="27" s="1"/>
  <c r="A46" i="25"/>
  <c r="A3"/>
  <c r="Y29"/>
  <c r="Y30" s="1"/>
  <c r="I20" i="24"/>
  <c r="K21"/>
  <c r="K22" i="26" s="1"/>
  <c r="K21" i="28" s="1"/>
  <c r="H21" i="24"/>
  <c r="H22" i="26" s="1"/>
  <c r="J21" i="22"/>
  <c r="J21" i="24" s="1"/>
  <c r="J22" i="26" s="1"/>
  <c r="K21" i="22"/>
  <c r="H21"/>
  <c r="I21" i="24"/>
  <c r="I19"/>
  <c r="I18"/>
  <c r="I17"/>
  <c r="V21"/>
  <c r="V20"/>
  <c r="V19"/>
  <c r="V18"/>
  <c r="V17"/>
  <c r="V16"/>
  <c r="N21"/>
  <c r="N17"/>
  <c r="N16"/>
  <c r="I15" i="23"/>
  <c r="N23"/>
  <c r="N24"/>
  <c r="N25"/>
  <c r="N25" i="25" s="1"/>
  <c r="N26" i="23"/>
  <c r="N26" i="25" s="1"/>
  <c r="N27" i="23"/>
  <c r="V27" s="1"/>
  <c r="N28"/>
  <c r="N28" i="25" s="1"/>
  <c r="N29" i="23"/>
  <c r="V29" s="1"/>
  <c r="N22"/>
  <c r="V22" s="1"/>
  <c r="N16"/>
  <c r="N17"/>
  <c r="N19"/>
  <c r="N19" i="25" s="1"/>
  <c r="N19" i="27" s="1"/>
  <c r="N19" i="29" s="1"/>
  <c r="N19" i="31" s="1"/>
  <c r="N19" i="32" s="1"/>
  <c r="N19" i="35" s="1"/>
  <c r="N19" i="36" s="1"/>
  <c r="N20" i="23"/>
  <c r="N15"/>
  <c r="N15" i="25" s="1"/>
  <c r="N15" i="27" s="1"/>
  <c r="N15" i="29" s="1"/>
  <c r="N15" i="31" s="1"/>
  <c r="N15" i="32" s="1"/>
  <c r="N15" i="35" s="1"/>
  <c r="N15" i="36" s="1"/>
  <c r="I23" i="23"/>
  <c r="A46"/>
  <c r="A3"/>
  <c r="Y29"/>
  <c r="Y30" s="1"/>
  <c r="V23"/>
  <c r="O21" i="22"/>
  <c r="I17"/>
  <c r="N16"/>
  <c r="N17"/>
  <c r="V19" i="21"/>
  <c r="J15" i="20"/>
  <c r="J15" i="23" s="1"/>
  <c r="J15" i="25" s="1"/>
  <c r="J15" i="27" s="1"/>
  <c r="J15" i="29" s="1"/>
  <c r="J15" i="31" s="1"/>
  <c r="J15" i="32" s="1"/>
  <c r="J15" i="35" s="1"/>
  <c r="A46" i="20"/>
  <c r="A3"/>
  <c r="K24" i="17"/>
  <c r="I23" i="20"/>
  <c r="I17"/>
  <c r="I16"/>
  <c r="Y30"/>
  <c r="K21"/>
  <c r="O21" s="1"/>
  <c r="J28"/>
  <c r="J28" i="23" s="1"/>
  <c r="J28" i="25" s="1"/>
  <c r="J35" i="27" s="1"/>
  <c r="J32" i="29" s="1"/>
  <c r="J30" i="31" s="1"/>
  <c r="J28" i="32" s="1"/>
  <c r="N18" i="20"/>
  <c r="N18" i="23" s="1"/>
  <c r="N18" i="25" s="1"/>
  <c r="N18" i="27" s="1"/>
  <c r="N18" i="29" s="1"/>
  <c r="N18" i="31" s="1"/>
  <c r="N18" i="32" s="1"/>
  <c r="N18" i="35" s="1"/>
  <c r="N18" i="36" s="1"/>
  <c r="I15" i="20"/>
  <c r="Y29"/>
  <c r="V29"/>
  <c r="V28"/>
  <c r="V27"/>
  <c r="V26"/>
  <c r="V25"/>
  <c r="V24"/>
  <c r="V23"/>
  <c r="V22"/>
  <c r="I23" i="19"/>
  <c r="A46"/>
  <c r="A3"/>
  <c r="I15"/>
  <c r="H21"/>
  <c r="H21" i="20" s="1"/>
  <c r="T21" s="1"/>
  <c r="H22" i="19"/>
  <c r="H22" i="20" s="1"/>
  <c r="J19" i="19"/>
  <c r="J19" i="20" s="1"/>
  <c r="J19" i="23" s="1"/>
  <c r="J19" i="25" s="1"/>
  <c r="J19" i="27" s="1"/>
  <c r="J20" i="19"/>
  <c r="J20" i="20" s="1"/>
  <c r="J20" i="23" s="1"/>
  <c r="J20" i="25" s="1"/>
  <c r="J20" i="27" s="1"/>
  <c r="J20" i="29" s="1"/>
  <c r="J20" i="31" s="1"/>
  <c r="J20" i="32" s="1"/>
  <c r="J21" i="19"/>
  <c r="J21" i="20" s="1"/>
  <c r="J21" i="23" s="1"/>
  <c r="J21" i="25" s="1"/>
  <c r="J21" i="27" s="1"/>
  <c r="J21" i="29" s="1"/>
  <c r="J21" i="31" s="1"/>
  <c r="J21" i="32" s="1"/>
  <c r="J27" i="19"/>
  <c r="J27" i="20" s="1"/>
  <c r="J27" i="23" s="1"/>
  <c r="J27" i="25" s="1"/>
  <c r="J34" i="27" s="1"/>
  <c r="J31" i="29" s="1"/>
  <c r="J29" i="31" s="1"/>
  <c r="J27" i="32" s="1"/>
  <c r="J28" i="19"/>
  <c r="J15"/>
  <c r="I29"/>
  <c r="K29" s="1"/>
  <c r="K29" i="20" s="1"/>
  <c r="I28" i="19"/>
  <c r="I27"/>
  <c r="I26"/>
  <c r="I25"/>
  <c r="I24"/>
  <c r="I22"/>
  <c r="I21"/>
  <c r="K21" s="1"/>
  <c r="I20"/>
  <c r="I19"/>
  <c r="I18"/>
  <c r="I17"/>
  <c r="I16"/>
  <c r="K16" s="1"/>
  <c r="O16" s="1"/>
  <c r="K19"/>
  <c r="Q19" s="1"/>
  <c r="K22"/>
  <c r="K22" i="20" s="1"/>
  <c r="K25" i="19"/>
  <c r="K25" i="20" s="1"/>
  <c r="K25" i="23" s="1"/>
  <c r="O25" s="1"/>
  <c r="Y29" i="19"/>
  <c r="V29"/>
  <c r="V28"/>
  <c r="V27"/>
  <c r="V26"/>
  <c r="V25"/>
  <c r="V24"/>
  <c r="V23"/>
  <c r="V22"/>
  <c r="N18"/>
  <c r="I16" i="18"/>
  <c r="K16" i="16"/>
  <c r="K16" i="18" s="1"/>
  <c r="K16" i="21" s="1"/>
  <c r="K16" i="22" s="1"/>
  <c r="K16" i="24" s="1"/>
  <c r="O16" s="1"/>
  <c r="I23" i="18"/>
  <c r="K23" s="1"/>
  <c r="K19" i="21" s="1"/>
  <c r="K19" i="22" s="1"/>
  <c r="K19" i="24" s="1"/>
  <c r="K19" i="26" s="1"/>
  <c r="K19" i="28" s="1"/>
  <c r="K19" i="30" s="1"/>
  <c r="K19" i="33" s="1"/>
  <c r="J23" i="18"/>
  <c r="N23"/>
  <c r="N19" i="21" s="1"/>
  <c r="N19" i="22" s="1"/>
  <c r="I26" i="18"/>
  <c r="N26"/>
  <c r="N20" i="21" s="1"/>
  <c r="N20" i="22" s="1"/>
  <c r="N20" i="24" s="1"/>
  <c r="N20" i="26" s="1"/>
  <c r="N20" i="28" s="1"/>
  <c r="N20" i="30" s="1"/>
  <c r="N20" i="33" s="1"/>
  <c r="N20" i="34" s="1"/>
  <c r="N22" i="37" s="1"/>
  <c r="N24" i="39" s="1"/>
  <c r="N20" i="40" s="1"/>
  <c r="N20" i="42" s="1"/>
  <c r="N20" i="45" s="1"/>
  <c r="N20" i="47" s="1"/>
  <c r="I17" i="18"/>
  <c r="H18"/>
  <c r="I18"/>
  <c r="K18" s="1"/>
  <c r="K18" i="21" s="1"/>
  <c r="K18" i="22" s="1"/>
  <c r="K18" i="24" s="1"/>
  <c r="K18" i="26" s="1"/>
  <c r="N18" i="18"/>
  <c r="N18" i="21" s="1"/>
  <c r="N18" i="22" s="1"/>
  <c r="Q27" i="17"/>
  <c r="K29"/>
  <c r="J29"/>
  <c r="J29" i="19" s="1"/>
  <c r="J29" i="20" s="1"/>
  <c r="J29" i="23" s="1"/>
  <c r="J29" i="25" s="1"/>
  <c r="J28" i="17"/>
  <c r="O28"/>
  <c r="K27"/>
  <c r="K27" i="19" s="1"/>
  <c r="J27" i="17"/>
  <c r="I29"/>
  <c r="I28"/>
  <c r="T28" s="1"/>
  <c r="I27"/>
  <c r="O27" s="1"/>
  <c r="H29"/>
  <c r="H29" i="19" s="1"/>
  <c r="H28" i="17"/>
  <c r="H28" i="19" s="1"/>
  <c r="H28" i="20" s="1"/>
  <c r="H28" i="23" s="1"/>
  <c r="H27" i="17"/>
  <c r="H27" i="19" s="1"/>
  <c r="H27" i="20" s="1"/>
  <c r="H27" i="23" s="1"/>
  <c r="I26" i="17"/>
  <c r="H26" i="19" s="1"/>
  <c r="H26" i="17"/>
  <c r="K26"/>
  <c r="O26" s="1"/>
  <c r="J26"/>
  <c r="J26" i="19" s="1"/>
  <c r="J26" i="20" s="1"/>
  <c r="J26" i="23" s="1"/>
  <c r="J26" i="25" s="1"/>
  <c r="J33" i="27" s="1"/>
  <c r="J29" i="29" s="1"/>
  <c r="J28" i="31" s="1"/>
  <c r="J26" i="32" s="1"/>
  <c r="J25" i="17"/>
  <c r="J25" i="19" s="1"/>
  <c r="J25" i="20" s="1"/>
  <c r="J25" i="23" s="1"/>
  <c r="J25" i="25" s="1"/>
  <c r="J32" i="27" s="1"/>
  <c r="J28" i="29" s="1"/>
  <c r="J27" i="31" s="1"/>
  <c r="J25" i="32" s="1"/>
  <c r="O25" i="17"/>
  <c r="I25"/>
  <c r="H25"/>
  <c r="T25" s="1"/>
  <c r="J24"/>
  <c r="J24" i="19" s="1"/>
  <c r="J24" i="20" s="1"/>
  <c r="J24" i="23" s="1"/>
  <c r="J24" i="25" s="1"/>
  <c r="J31" i="27" s="1"/>
  <c r="I24" i="17"/>
  <c r="H24"/>
  <c r="H24" i="19" s="1"/>
  <c r="H24" i="20" s="1"/>
  <c r="T24" s="1"/>
  <c r="I23" i="17"/>
  <c r="H23"/>
  <c r="H23" i="19" s="1"/>
  <c r="H23" i="20" s="1"/>
  <c r="H23" i="23" s="1"/>
  <c r="H23" i="25" s="1"/>
  <c r="V23" i="17"/>
  <c r="V24"/>
  <c r="V25"/>
  <c r="V26"/>
  <c r="V27"/>
  <c r="V28"/>
  <c r="V29"/>
  <c r="V22"/>
  <c r="K23"/>
  <c r="O23" s="1"/>
  <c r="J23"/>
  <c r="J23" i="19" s="1"/>
  <c r="J23" i="20" s="1"/>
  <c r="J23" i="23" s="1"/>
  <c r="J23" i="25" s="1"/>
  <c r="K22" i="17"/>
  <c r="O22" s="1"/>
  <c r="J22"/>
  <c r="J22" i="19" s="1"/>
  <c r="I22" i="17"/>
  <c r="H22"/>
  <c r="I21"/>
  <c r="H21"/>
  <c r="J20"/>
  <c r="H20"/>
  <c r="H20" i="19" s="1"/>
  <c r="H20" i="20" s="1"/>
  <c r="T20" s="1"/>
  <c r="I20" i="17"/>
  <c r="K20"/>
  <c r="O20" s="1"/>
  <c r="J19"/>
  <c r="O19"/>
  <c r="K19"/>
  <c r="I19"/>
  <c r="H19" i="19" s="1"/>
  <c r="H19" i="20" s="1"/>
  <c r="H19" i="17"/>
  <c r="I18"/>
  <c r="H18"/>
  <c r="H18" i="19" s="1"/>
  <c r="H18" i="20" s="1"/>
  <c r="N18" i="17"/>
  <c r="K18"/>
  <c r="J18"/>
  <c r="J18" i="19" s="1"/>
  <c r="J18" i="20" s="1"/>
  <c r="J18" i="23" s="1"/>
  <c r="J18" i="25" s="1"/>
  <c r="J18" i="27" s="1"/>
  <c r="J18" i="29" s="1"/>
  <c r="J18" i="31" s="1"/>
  <c r="J18" i="32" s="1"/>
  <c r="H17" i="17"/>
  <c r="T17" s="1"/>
  <c r="K17"/>
  <c r="J17"/>
  <c r="J17" i="19" s="1"/>
  <c r="J17" i="20" s="1"/>
  <c r="J17" i="23" s="1"/>
  <c r="J17" i="25" s="1"/>
  <c r="J17" i="27" s="1"/>
  <c r="J17" i="29" s="1"/>
  <c r="J17" i="31" s="1"/>
  <c r="J17" i="32" s="1"/>
  <c r="J16" i="17"/>
  <c r="J16" i="19" s="1"/>
  <c r="J16" i="20" s="1"/>
  <c r="J16" i="23" s="1"/>
  <c r="J16" i="25" s="1"/>
  <c r="J16" i="27" s="1"/>
  <c r="J16" i="29" s="1"/>
  <c r="J16" i="31" s="1"/>
  <c r="J16" i="32" s="1"/>
  <c r="H16" i="17"/>
  <c r="T16" s="1"/>
  <c r="J15"/>
  <c r="K15"/>
  <c r="S15" s="1"/>
  <c r="T15"/>
  <c r="H15"/>
  <c r="H15" i="19" s="1"/>
  <c r="H15" i="20" s="1"/>
  <c r="H15" i="23" s="1"/>
  <c r="A46" i="17"/>
  <c r="A3"/>
  <c r="O21"/>
  <c r="O17"/>
  <c r="O16"/>
  <c r="J16" i="16"/>
  <c r="J16" i="18" s="1"/>
  <c r="J16" i="21" s="1"/>
  <c r="J16" i="22" s="1"/>
  <c r="J16" i="24" s="1"/>
  <c r="J16" i="26" s="1"/>
  <c r="J16" i="28" s="1"/>
  <c r="J16" i="30" s="1"/>
  <c r="J16" i="33" s="1"/>
  <c r="J16" i="34" s="1"/>
  <c r="H16" i="16"/>
  <c r="H16" i="18" s="1"/>
  <c r="H16" i="21" s="1"/>
  <c r="H16" i="22" s="1"/>
  <c r="S16" s="1"/>
  <c r="I16" i="16"/>
  <c r="H17"/>
  <c r="S17" s="1"/>
  <c r="K17"/>
  <c r="K17" i="18" s="1"/>
  <c r="J17" i="16"/>
  <c r="R17" s="1"/>
  <c r="H20"/>
  <c r="S20" s="1"/>
  <c r="H19"/>
  <c r="H23" i="18" s="1"/>
  <c r="H18" i="16"/>
  <c r="S18" s="1"/>
  <c r="R20"/>
  <c r="R19"/>
  <c r="J20"/>
  <c r="K20"/>
  <c r="O20" s="1"/>
  <c r="K19"/>
  <c r="O19"/>
  <c r="J19"/>
  <c r="K18"/>
  <c r="O18" s="1"/>
  <c r="J18"/>
  <c r="J18" i="18" s="1"/>
  <c r="J18" i="21" s="1"/>
  <c r="J18" i="22" s="1"/>
  <c r="J18" i="24" s="1"/>
  <c r="H31" i="13"/>
  <c r="H30"/>
  <c r="H29"/>
  <c r="H28"/>
  <c r="H27"/>
  <c r="H26"/>
  <c r="H25"/>
  <c r="I24"/>
  <c r="H24"/>
  <c r="H23"/>
  <c r="H21"/>
  <c r="H20"/>
  <c r="H19"/>
  <c r="H18"/>
  <c r="W18"/>
  <c r="AC18" s="1"/>
  <c r="AA18"/>
  <c r="H16"/>
  <c r="I15"/>
  <c r="H15"/>
  <c r="A3"/>
  <c r="H18" i="14"/>
  <c r="J15" i="36" l="1"/>
  <c r="T27" i="23"/>
  <c r="H27" i="25"/>
  <c r="H34" i="27" s="1"/>
  <c r="H31" i="29" s="1"/>
  <c r="N18" i="41"/>
  <c r="N18" i="43" s="1"/>
  <c r="N18" i="44" s="1"/>
  <c r="N18" i="46" s="1"/>
  <c r="N18" i="38"/>
  <c r="N20" i="41"/>
  <c r="N20" i="43" s="1"/>
  <c r="N20" i="44" s="1"/>
  <c r="N20" i="46" s="1"/>
  <c r="N20" i="38"/>
  <c r="J21" i="35"/>
  <c r="N19" i="24"/>
  <c r="N19" i="26"/>
  <c r="N19" i="28" s="1"/>
  <c r="N19" i="30" s="1"/>
  <c r="N19" i="33" s="1"/>
  <c r="N19" i="34" s="1"/>
  <c r="N21" i="37" s="1"/>
  <c r="N21" i="39" s="1"/>
  <c r="N19" i="40" s="1"/>
  <c r="N19" i="42" s="1"/>
  <c r="N19" i="45" s="1"/>
  <c r="N19" i="47" s="1"/>
  <c r="N16" i="38"/>
  <c r="N16" i="41"/>
  <c r="N16" i="43" s="1"/>
  <c r="N16" i="44" s="1"/>
  <c r="N16" i="46" s="1"/>
  <c r="J28" i="35"/>
  <c r="J16" i="37"/>
  <c r="H29" i="20"/>
  <c r="H29" i="23" s="1"/>
  <c r="T29" i="19"/>
  <c r="K19" i="34"/>
  <c r="J16" i="35"/>
  <c r="T28" i="23"/>
  <c r="H28" i="25"/>
  <c r="H35" i="27" s="1"/>
  <c r="H32" i="29" s="1"/>
  <c r="H30" i="31" s="1"/>
  <c r="H28" i="32" s="1"/>
  <c r="N18" i="24"/>
  <c r="N18" i="26"/>
  <c r="N18" i="28" s="1"/>
  <c r="N18" i="30" s="1"/>
  <c r="N18" i="33" s="1"/>
  <c r="N18" i="34" s="1"/>
  <c r="N18" i="37" s="1"/>
  <c r="N18" i="39" s="1"/>
  <c r="N18" i="40" s="1"/>
  <c r="N18" i="42" s="1"/>
  <c r="N18" i="45" s="1"/>
  <c r="N18" i="47" s="1"/>
  <c r="O29" i="20"/>
  <c r="K29" i="23"/>
  <c r="O29" s="1"/>
  <c r="J17" i="35"/>
  <c r="J27"/>
  <c r="V28" i="25"/>
  <c r="N35" i="27"/>
  <c r="J18" i="35"/>
  <c r="N32" i="27"/>
  <c r="V25" i="25"/>
  <c r="J26" i="35"/>
  <c r="T22" i="20"/>
  <c r="H22" i="23"/>
  <c r="N17" i="38"/>
  <c r="N17" i="41"/>
  <c r="N17" i="43" s="1"/>
  <c r="N17" i="44" s="1"/>
  <c r="N17" i="46" s="1"/>
  <c r="J20" i="35"/>
  <c r="N33" i="27"/>
  <c r="V26" i="25"/>
  <c r="J25" i="35"/>
  <c r="Q27" i="19"/>
  <c r="K27" i="20"/>
  <c r="K27" i="23" s="1"/>
  <c r="K27" i="25" s="1"/>
  <c r="T18" i="20"/>
  <c r="H18" i="23"/>
  <c r="V31" i="27"/>
  <c r="N27" i="29"/>
  <c r="O17" i="18"/>
  <c r="K17" i="21"/>
  <c r="K17" i="22" s="1"/>
  <c r="K17" i="24" s="1"/>
  <c r="T19" i="20"/>
  <c r="H19" i="23"/>
  <c r="J22" i="20"/>
  <c r="J22" i="23" s="1"/>
  <c r="J22" i="25" s="1"/>
  <c r="J22" i="27" s="1"/>
  <c r="J22" i="29" s="1"/>
  <c r="J22" i="31" s="1"/>
  <c r="J22" i="32" s="1"/>
  <c r="S22" i="19"/>
  <c r="H26" i="20"/>
  <c r="T26" i="19"/>
  <c r="O22" i="20"/>
  <c r="K22" i="23"/>
  <c r="Q22" s="1"/>
  <c r="N19" i="41"/>
  <c r="N19" i="43" s="1"/>
  <c r="N19" i="44" s="1"/>
  <c r="N19" i="46" s="1"/>
  <c r="N19" i="38"/>
  <c r="N21" i="41"/>
  <c r="N21" i="43" s="1"/>
  <c r="N21" i="44" s="1"/>
  <c r="N21" i="46" s="1"/>
  <c r="N21" i="38"/>
  <c r="H17" i="18"/>
  <c r="H17" i="21" s="1"/>
  <c r="H17" i="22" s="1"/>
  <c r="K18" i="19"/>
  <c r="K18" i="20" s="1"/>
  <c r="N15" i="38"/>
  <c r="N15" i="41"/>
  <c r="N15" i="43" s="1"/>
  <c r="N15" i="44" s="1"/>
  <c r="N15" i="46" s="1"/>
  <c r="K22" i="25"/>
  <c r="O22" s="1"/>
  <c r="H21" i="28"/>
  <c r="H21" i="30" s="1"/>
  <c r="H21" i="33" s="1"/>
  <c r="T19" i="19"/>
  <c r="K18" i="28"/>
  <c r="O18" s="1"/>
  <c r="J18" i="26"/>
  <c r="J18" i="28" s="1"/>
  <c r="J18" i="30" s="1"/>
  <c r="J18" i="33" s="1"/>
  <c r="J17" i="18"/>
  <c r="J17" i="21" s="1"/>
  <c r="J17" i="22" s="1"/>
  <c r="J17" i="24" s="1"/>
  <c r="J17" i="26" s="1"/>
  <c r="J17" i="28" s="1"/>
  <c r="H17" i="19"/>
  <c r="K19" i="20"/>
  <c r="N29" i="25"/>
  <c r="J34" i="29"/>
  <c r="J32" i="31" s="1"/>
  <c r="H23" i="33"/>
  <c r="H23" i="34" s="1"/>
  <c r="H16" i="19"/>
  <c r="H16" i="20" s="1"/>
  <c r="H16" i="23" s="1"/>
  <c r="H19" i="21"/>
  <c r="H19" i="22" s="1"/>
  <c r="H19" i="24" s="1"/>
  <c r="H19" i="26" s="1"/>
  <c r="V25" i="23"/>
  <c r="K25" i="25"/>
  <c r="K32" i="27" s="1"/>
  <c r="K28" i="29" s="1"/>
  <c r="K27" i="31" s="1"/>
  <c r="K25" i="32" s="1"/>
  <c r="S16" i="16"/>
  <c r="H26" i="18"/>
  <c r="O22" i="19"/>
  <c r="V26" i="23"/>
  <c r="N27" i="25"/>
  <c r="J23" i="33"/>
  <c r="R22" i="30"/>
  <c r="O22" i="34"/>
  <c r="K24" i="37"/>
  <c r="H19" i="28"/>
  <c r="S19" s="1"/>
  <c r="K15" i="19"/>
  <c r="S15" s="1"/>
  <c r="K18" i="30"/>
  <c r="K18" i="33" s="1"/>
  <c r="T23" i="17"/>
  <c r="Q26"/>
  <c r="K26" i="18"/>
  <c r="K20" i="21" s="1"/>
  <c r="K26" i="19"/>
  <c r="K21" i="23"/>
  <c r="O21" s="1"/>
  <c r="N25" i="29"/>
  <c r="K29" i="25"/>
  <c r="K37" i="27" s="1"/>
  <c r="H26" i="39"/>
  <c r="H22" i="40" s="1"/>
  <c r="H22" i="42" s="1"/>
  <c r="H24" i="37"/>
  <c r="H18" i="21"/>
  <c r="H18" i="22" s="1"/>
  <c r="H25" i="19"/>
  <c r="K16" i="20"/>
  <c r="K16" i="23" s="1"/>
  <c r="O16" s="1"/>
  <c r="S19" i="16"/>
  <c r="T27" i="19"/>
  <c r="T23"/>
  <c r="K21" i="25"/>
  <c r="Q21" s="1"/>
  <c r="J22" i="34"/>
  <c r="R22" i="33"/>
  <c r="N22" i="25"/>
  <c r="P22" i="33"/>
  <c r="K17" i="19"/>
  <c r="O17" s="1"/>
  <c r="O22" i="30"/>
  <c r="K23" i="33"/>
  <c r="T30" i="31"/>
  <c r="Y33"/>
  <c r="Q27"/>
  <c r="S27"/>
  <c r="P22" i="30"/>
  <c r="K21"/>
  <c r="O19"/>
  <c r="P18"/>
  <c r="Q28" i="29"/>
  <c r="J27"/>
  <c r="J19"/>
  <c r="J19" i="31" s="1"/>
  <c r="J19" i="32" s="1"/>
  <c r="Y35" i="29"/>
  <c r="T32"/>
  <c r="S28"/>
  <c r="O21" i="28"/>
  <c r="O19"/>
  <c r="J21"/>
  <c r="P21" s="1"/>
  <c r="P18"/>
  <c r="Y39" i="27"/>
  <c r="T34"/>
  <c r="J37"/>
  <c r="H27"/>
  <c r="T27" s="1"/>
  <c r="J27"/>
  <c r="S32"/>
  <c r="Q32"/>
  <c r="O32"/>
  <c r="S19" i="26"/>
  <c r="O19"/>
  <c r="O22"/>
  <c r="K16"/>
  <c r="O18"/>
  <c r="R18"/>
  <c r="P22"/>
  <c r="H15" i="25"/>
  <c r="T15" s="1"/>
  <c r="O29"/>
  <c r="T28"/>
  <c r="K16"/>
  <c r="V24"/>
  <c r="O18" i="22"/>
  <c r="Q25" i="25"/>
  <c r="Q22"/>
  <c r="T23"/>
  <c r="O25"/>
  <c r="S25"/>
  <c r="K20" i="22"/>
  <c r="S19" i="24"/>
  <c r="P18"/>
  <c r="O19"/>
  <c r="O18"/>
  <c r="H16"/>
  <c r="S16" s="1"/>
  <c r="O21"/>
  <c r="R16"/>
  <c r="P21"/>
  <c r="R18"/>
  <c r="P16"/>
  <c r="O27" i="23"/>
  <c r="S16"/>
  <c r="T23"/>
  <c r="P21" i="22"/>
  <c r="V24" i="23"/>
  <c r="V28"/>
  <c r="S27"/>
  <c r="O22"/>
  <c r="H24"/>
  <c r="H20"/>
  <c r="H21"/>
  <c r="S25"/>
  <c r="T15"/>
  <c r="S21"/>
  <c r="S22"/>
  <c r="Q16"/>
  <c r="Q21"/>
  <c r="Q25"/>
  <c r="Q27"/>
  <c r="S19" i="22"/>
  <c r="O19"/>
  <c r="P16"/>
  <c r="O17"/>
  <c r="R16"/>
  <c r="O16"/>
  <c r="R17"/>
  <c r="R18"/>
  <c r="P18"/>
  <c r="O18" i="21"/>
  <c r="J19"/>
  <c r="S17"/>
  <c r="S16"/>
  <c r="O20"/>
  <c r="S18"/>
  <c r="S19"/>
  <c r="R16"/>
  <c r="S27" i="20"/>
  <c r="P18" i="21"/>
  <c r="P16"/>
  <c r="O16"/>
  <c r="P17"/>
  <c r="O17"/>
  <c r="R18"/>
  <c r="O19"/>
  <c r="K24" i="19"/>
  <c r="S24" s="1"/>
  <c r="T28" i="20"/>
  <c r="Q25"/>
  <c r="O25"/>
  <c r="Q16"/>
  <c r="O16"/>
  <c r="S19"/>
  <c r="T16"/>
  <c r="S18"/>
  <c r="S22"/>
  <c r="T23"/>
  <c r="T27"/>
  <c r="T29"/>
  <c r="S16"/>
  <c r="S25"/>
  <c r="S29"/>
  <c r="T15"/>
  <c r="S21"/>
  <c r="Q27"/>
  <c r="O27"/>
  <c r="Q18"/>
  <c r="Q19"/>
  <c r="Q21"/>
  <c r="Q22"/>
  <c r="Q29"/>
  <c r="T28" i="19"/>
  <c r="T20"/>
  <c r="Q25"/>
  <c r="O15"/>
  <c r="S29"/>
  <c r="O29"/>
  <c r="K28"/>
  <c r="O27"/>
  <c r="T24"/>
  <c r="K23"/>
  <c r="K23" i="20" s="1"/>
  <c r="S21" i="19"/>
  <c r="Q21"/>
  <c r="O21"/>
  <c r="T21"/>
  <c r="K20"/>
  <c r="O19"/>
  <c r="S19"/>
  <c r="O18"/>
  <c r="Q18"/>
  <c r="T18"/>
  <c r="O25"/>
  <c r="Q16"/>
  <c r="Q29"/>
  <c r="S17"/>
  <c r="T22"/>
  <c r="T15"/>
  <c r="Q15"/>
  <c r="Q22"/>
  <c r="S16"/>
  <c r="S18"/>
  <c r="S25"/>
  <c r="Q26"/>
  <c r="S27"/>
  <c r="O23" i="18"/>
  <c r="S23"/>
  <c r="O26"/>
  <c r="S17"/>
  <c r="S26"/>
  <c r="P17"/>
  <c r="P23"/>
  <c r="R17"/>
  <c r="R18"/>
  <c r="S18"/>
  <c r="O18"/>
  <c r="P18"/>
  <c r="R23"/>
  <c r="T24" i="17"/>
  <c r="O29"/>
  <c r="T29"/>
  <c r="T27"/>
  <c r="Q29"/>
  <c r="T26"/>
  <c r="S25"/>
  <c r="O24"/>
  <c r="T22"/>
  <c r="T21"/>
  <c r="T20"/>
  <c r="T19"/>
  <c r="S23"/>
  <c r="T18"/>
  <c r="O15"/>
  <c r="S18"/>
  <c r="S21"/>
  <c r="O18"/>
  <c r="S26"/>
  <c r="S28"/>
  <c r="S17"/>
  <c r="S19"/>
  <c r="S20"/>
  <c r="S22"/>
  <c r="S16"/>
  <c r="Q18"/>
  <c r="Q23"/>
  <c r="Q20"/>
  <c r="Q19"/>
  <c r="Q15"/>
  <c r="Q28"/>
  <c r="Q17"/>
  <c r="Q21"/>
  <c r="Q22"/>
  <c r="P18" i="16"/>
  <c r="R18"/>
  <c r="O17"/>
  <c r="P19"/>
  <c r="P20"/>
  <c r="AB18" i="13"/>
  <c r="H19" i="14"/>
  <c r="H17"/>
  <c r="I17"/>
  <c r="J20"/>
  <c r="K20"/>
  <c r="O20" s="1"/>
  <c r="W33" i="13"/>
  <c r="Y32"/>
  <c r="X32"/>
  <c r="U32"/>
  <c r="T32"/>
  <c r="S32"/>
  <c r="AA31"/>
  <c r="W31"/>
  <c r="AC31" s="1"/>
  <c r="AA30"/>
  <c r="W30"/>
  <c r="AC30" s="1"/>
  <c r="AA29"/>
  <c r="W29"/>
  <c r="AC29" s="1"/>
  <c r="AA28"/>
  <c r="W28"/>
  <c r="AC28" s="1"/>
  <c r="AA27"/>
  <c r="W27"/>
  <c r="AC27" s="1"/>
  <c r="AA26"/>
  <c r="W26"/>
  <c r="AC26" s="1"/>
  <c r="AA25"/>
  <c r="W25"/>
  <c r="AC25" s="1"/>
  <c r="AA24"/>
  <c r="W24"/>
  <c r="AC24" s="1"/>
  <c r="AA23"/>
  <c r="W23"/>
  <c r="AC23" s="1"/>
  <c r="AA21"/>
  <c r="W21"/>
  <c r="AC21" s="1"/>
  <c r="AA20"/>
  <c r="W20"/>
  <c r="AC20" s="1"/>
  <c r="AA19"/>
  <c r="W19"/>
  <c r="AC19" s="1"/>
  <c r="AA16"/>
  <c r="W16"/>
  <c r="AC16" s="1"/>
  <c r="AA15"/>
  <c r="W15"/>
  <c r="AC15" s="1"/>
  <c r="H35" i="11"/>
  <c r="H34"/>
  <c r="H33"/>
  <c r="H32"/>
  <c r="H31"/>
  <c r="H30"/>
  <c r="H28"/>
  <c r="H26"/>
  <c r="H25"/>
  <c r="H23"/>
  <c r="H22"/>
  <c r="H21"/>
  <c r="H19"/>
  <c r="H17"/>
  <c r="H15"/>
  <c r="I15"/>
  <c r="A46"/>
  <c r="A3"/>
  <c r="H16" i="12"/>
  <c r="H20"/>
  <c r="H19"/>
  <c r="H18"/>
  <c r="J20" i="7"/>
  <c r="W37" i="11"/>
  <c r="Y36"/>
  <c r="X36"/>
  <c r="U36"/>
  <c r="T36"/>
  <c r="S36"/>
  <c r="AA26"/>
  <c r="W26"/>
  <c r="AC26" s="1"/>
  <c r="AA28"/>
  <c r="W28"/>
  <c r="AC28" s="1"/>
  <c r="AA22"/>
  <c r="W22"/>
  <c r="AC22" s="1"/>
  <c r="AA19"/>
  <c r="W19"/>
  <c r="AC19" s="1"/>
  <c r="AA33"/>
  <c r="W33"/>
  <c r="AA32"/>
  <c r="W32"/>
  <c r="AA31"/>
  <c r="W31"/>
  <c r="AC31" s="1"/>
  <c r="AA25"/>
  <c r="W25"/>
  <c r="AA23"/>
  <c r="W23"/>
  <c r="AC23" s="1"/>
  <c r="AA30"/>
  <c r="W30"/>
  <c r="AA35"/>
  <c r="W35"/>
  <c r="AA34"/>
  <c r="W34"/>
  <c r="AA21"/>
  <c r="W21"/>
  <c r="AC21" s="1"/>
  <c r="AA17"/>
  <c r="W17"/>
  <c r="AA15"/>
  <c r="W15"/>
  <c r="A35" i="9"/>
  <c r="U30"/>
  <c r="S30"/>
  <c r="T30"/>
  <c r="AC24"/>
  <c r="O24" i="8"/>
  <c r="W24" i="9"/>
  <c r="AA18"/>
  <c r="J19" i="35" l="1"/>
  <c r="K34" i="29"/>
  <c r="J29" i="32"/>
  <c r="K17" i="26"/>
  <c r="P17" i="24"/>
  <c r="R17"/>
  <c r="O17"/>
  <c r="O27" i="25"/>
  <c r="K34" i="27"/>
  <c r="Q27" i="25"/>
  <c r="S27"/>
  <c r="J17" i="30"/>
  <c r="J17" i="33" s="1"/>
  <c r="K23" i="23"/>
  <c r="S23" i="20"/>
  <c r="Q23"/>
  <c r="O23"/>
  <c r="J26" i="31"/>
  <c r="O20" i="19"/>
  <c r="K20" i="20"/>
  <c r="R17" i="21"/>
  <c r="P17" i="22"/>
  <c r="Q29" i="23"/>
  <c r="H16" i="26"/>
  <c r="S34" i="29"/>
  <c r="S18" i="22"/>
  <c r="H18" i="24"/>
  <c r="J26" i="18"/>
  <c r="H20" i="21"/>
  <c r="H15" i="27"/>
  <c r="J20" i="36"/>
  <c r="J16"/>
  <c r="J24" i="37"/>
  <c r="R22" i="34"/>
  <c r="T25" i="19"/>
  <c r="H25" i="20"/>
  <c r="V35" i="27"/>
  <c r="N32" i="29"/>
  <c r="Q24" i="19"/>
  <c r="AB19" i="13"/>
  <c r="AB28"/>
  <c r="Q17" i="19"/>
  <c r="R19" i="21"/>
  <c r="J19" i="22"/>
  <c r="S29" i="23"/>
  <c r="T27" i="25"/>
  <c r="T35" i="27"/>
  <c r="H25" i="29"/>
  <c r="K15" i="20"/>
  <c r="P22" i="34"/>
  <c r="V27" i="29"/>
  <c r="N26" i="31"/>
  <c r="O19" i="33"/>
  <c r="H19" i="30"/>
  <c r="S22" i="42"/>
  <c r="H22" i="45"/>
  <c r="S26" i="19"/>
  <c r="K26" i="20"/>
  <c r="O26" i="19"/>
  <c r="K26" i="39"/>
  <c r="O24" i="37"/>
  <c r="V29" i="25"/>
  <c r="N37" i="27"/>
  <c r="J27" i="36"/>
  <c r="O19" i="34"/>
  <c r="K21" i="37"/>
  <c r="J21" i="36"/>
  <c r="O16" i="25"/>
  <c r="K16" i="27"/>
  <c r="P18" i="26"/>
  <c r="J25" i="29"/>
  <c r="O21" i="30"/>
  <c r="K21" i="33"/>
  <c r="K25" i="35"/>
  <c r="Q25" s="1"/>
  <c r="Q25" i="32"/>
  <c r="O19" i="20"/>
  <c r="K19" i="23"/>
  <c r="S21" i="33"/>
  <c r="H21" i="34"/>
  <c r="T18" i="23"/>
  <c r="H18" i="25"/>
  <c r="T22" i="23"/>
  <c r="H22" i="25"/>
  <c r="T21" i="23"/>
  <c r="H21" i="25"/>
  <c r="O18" i="30"/>
  <c r="H17" i="20"/>
  <c r="T17" i="19"/>
  <c r="J17" i="36"/>
  <c r="T29" i="23"/>
  <c r="H29" i="25"/>
  <c r="O21"/>
  <c r="K21" i="27"/>
  <c r="J23" i="34"/>
  <c r="R23" i="33"/>
  <c r="T20" i="23"/>
  <c r="H20" i="25"/>
  <c r="T16" i="19"/>
  <c r="T24" i="23"/>
  <c r="H24" i="25"/>
  <c r="S29"/>
  <c r="Q29"/>
  <c r="R16" i="26"/>
  <c r="K16" i="28"/>
  <c r="Q37" i="27"/>
  <c r="R18" i="30"/>
  <c r="K18" i="34"/>
  <c r="P18" i="33"/>
  <c r="O18"/>
  <c r="T26" i="20"/>
  <c r="H26" i="23"/>
  <c r="J26" i="36"/>
  <c r="J16" i="39"/>
  <c r="T16" i="23"/>
  <c r="H16" i="25"/>
  <c r="J18" i="34"/>
  <c r="R18" i="33"/>
  <c r="S25" i="32"/>
  <c r="T31" i="29"/>
  <c r="H29" i="31"/>
  <c r="O28" i="19"/>
  <c r="K28" i="20"/>
  <c r="K28" i="23" s="1"/>
  <c r="K17" i="20"/>
  <c r="J22" i="35"/>
  <c r="J25" i="36"/>
  <c r="S25" i="35"/>
  <c r="V32" i="27"/>
  <c r="N28" i="29"/>
  <c r="J28" i="36"/>
  <c r="S22" i="25"/>
  <c r="S21"/>
  <c r="R18" i="28"/>
  <c r="J21" i="30"/>
  <c r="V22" i="25"/>
  <c r="N22" i="27"/>
  <c r="V25" i="29"/>
  <c r="N23" i="31"/>
  <c r="N34" i="27"/>
  <c r="V27" i="25"/>
  <c r="O18" i="20"/>
  <c r="K18" i="23"/>
  <c r="T19"/>
  <c r="H19" i="25"/>
  <c r="H28" i="35"/>
  <c r="T28" i="32"/>
  <c r="J15" i="38"/>
  <c r="K23" i="34"/>
  <c r="P23" i="33"/>
  <c r="O23"/>
  <c r="K22" i="27"/>
  <c r="H25" i="37"/>
  <c r="H27" i="39"/>
  <c r="H23" i="40" s="1"/>
  <c r="H23" i="42" s="1"/>
  <c r="S17" i="22"/>
  <c r="H17" i="24"/>
  <c r="V33" i="27"/>
  <c r="N29" i="29"/>
  <c r="J18" i="36"/>
  <c r="P21" i="30"/>
  <c r="S37" i="27"/>
  <c r="O16" i="26"/>
  <c r="P16"/>
  <c r="Q16" i="25"/>
  <c r="S16"/>
  <c r="K20" i="24"/>
  <c r="K20" i="26" s="1"/>
  <c r="O20" i="22"/>
  <c r="P19" i="21"/>
  <c r="O24" i="19"/>
  <c r="K24" i="20"/>
  <c r="S28" i="19"/>
  <c r="Q28"/>
  <c r="Q23"/>
  <c r="S23"/>
  <c r="O23"/>
  <c r="Q20"/>
  <c r="S20"/>
  <c r="S29" i="17"/>
  <c r="S27"/>
  <c r="Q25"/>
  <c r="Q24"/>
  <c r="S24"/>
  <c r="Q16"/>
  <c r="AB15" i="13"/>
  <c r="AB29"/>
  <c r="AB20"/>
  <c r="AB25"/>
  <c r="AB23"/>
  <c r="AB24"/>
  <c r="AB26"/>
  <c r="AB30"/>
  <c r="AB16"/>
  <c r="AB21"/>
  <c r="AB27"/>
  <c r="AB31"/>
  <c r="P20" i="14"/>
  <c r="W32" i="13"/>
  <c r="W35" s="1"/>
  <c r="AB17" i="11"/>
  <c r="AB35"/>
  <c r="AB34"/>
  <c r="AB33"/>
  <c r="AB19"/>
  <c r="AB22"/>
  <c r="AB23"/>
  <c r="AC34"/>
  <c r="AB31"/>
  <c r="AB26"/>
  <c r="AB25"/>
  <c r="AB32"/>
  <c r="W36"/>
  <c r="W39" s="1"/>
  <c r="AB21"/>
  <c r="AB28"/>
  <c r="AB15"/>
  <c r="AB30"/>
  <c r="AC25"/>
  <c r="AC15"/>
  <c r="AC35"/>
  <c r="AC32"/>
  <c r="AC17"/>
  <c r="AC30"/>
  <c r="AC33"/>
  <c r="H25" i="23" l="1"/>
  <c r="T25" i="20"/>
  <c r="H20" i="22"/>
  <c r="S20" i="21"/>
  <c r="J24" i="32"/>
  <c r="J28" i="38"/>
  <c r="H37" i="27"/>
  <c r="T29" i="25"/>
  <c r="T22"/>
  <c r="H22" i="27"/>
  <c r="J27" i="38"/>
  <c r="J20" i="21"/>
  <c r="R26" i="18"/>
  <c r="P26"/>
  <c r="K31" i="29"/>
  <c r="S34" i="27"/>
  <c r="Q34"/>
  <c r="O34"/>
  <c r="H19" i="33"/>
  <c r="S19" i="30"/>
  <c r="N31" i="29"/>
  <c r="V34" i="27"/>
  <c r="H27" i="32"/>
  <c r="T29" i="31"/>
  <c r="J26" i="38"/>
  <c r="H31" i="27"/>
  <c r="T24" i="25"/>
  <c r="J23" i="31"/>
  <c r="J19" i="24"/>
  <c r="R19" i="22"/>
  <c r="P19"/>
  <c r="S18" i="24"/>
  <c r="H18" i="26"/>
  <c r="J25" i="37"/>
  <c r="R23" i="34"/>
  <c r="K22" i="29"/>
  <c r="O22" i="27"/>
  <c r="Q22"/>
  <c r="K21" i="34"/>
  <c r="O21" i="33"/>
  <c r="O23" i="34"/>
  <c r="K25" i="37"/>
  <c r="P23" i="34"/>
  <c r="V23" i="31"/>
  <c r="N23" i="32"/>
  <c r="V28" i="29"/>
  <c r="N27" i="31"/>
  <c r="O28" i="29"/>
  <c r="T26" i="23"/>
  <c r="H26" i="25"/>
  <c r="H18" i="27"/>
  <c r="T18" i="25"/>
  <c r="V37" i="27"/>
  <c r="N34" i="29"/>
  <c r="O34" s="1"/>
  <c r="J26" i="39"/>
  <c r="R24" i="37"/>
  <c r="K20" i="28"/>
  <c r="O20" i="26"/>
  <c r="J18" i="38"/>
  <c r="J17"/>
  <c r="K16" i="29"/>
  <c r="O16" i="27"/>
  <c r="Q16"/>
  <c r="S16"/>
  <c r="S23" i="42"/>
  <c r="H23" i="45"/>
  <c r="S28" i="20"/>
  <c r="V29" i="29"/>
  <c r="N28" i="31"/>
  <c r="J15" i="41"/>
  <c r="J25" i="38"/>
  <c r="H20" i="27"/>
  <c r="T20" i="25"/>
  <c r="H17" i="23"/>
  <c r="T17" i="20"/>
  <c r="P24" i="37"/>
  <c r="V26" i="31"/>
  <c r="N24" i="32"/>
  <c r="S16" i="26"/>
  <c r="H16" i="28"/>
  <c r="K17"/>
  <c r="R17" i="26"/>
  <c r="O17"/>
  <c r="P17"/>
  <c r="R21" i="30"/>
  <c r="J21" i="33"/>
  <c r="P21" s="1"/>
  <c r="R18" i="34"/>
  <c r="J18" i="37"/>
  <c r="O18" i="34"/>
  <c r="K18" i="37"/>
  <c r="P18" i="34"/>
  <c r="K19" i="25"/>
  <c r="O19" i="23"/>
  <c r="Q19"/>
  <c r="S19"/>
  <c r="K22" i="40"/>
  <c r="O26" i="39"/>
  <c r="J16" i="38"/>
  <c r="K17" i="23"/>
  <c r="O17" i="20"/>
  <c r="S17"/>
  <c r="Q17"/>
  <c r="Q18" i="23"/>
  <c r="K18" i="25"/>
  <c r="S18" i="23"/>
  <c r="O18"/>
  <c r="V22" i="27"/>
  <c r="N22" i="29"/>
  <c r="S21" i="34"/>
  <c r="H23" i="37"/>
  <c r="S23" s="1"/>
  <c r="H25" i="39"/>
  <c r="S22" i="27"/>
  <c r="Q28" i="20"/>
  <c r="O28"/>
  <c r="H17" i="26"/>
  <c r="S17" i="24"/>
  <c r="H28" i="36"/>
  <c r="T28" i="35"/>
  <c r="T16" i="25"/>
  <c r="H16" i="27"/>
  <c r="H21"/>
  <c r="T21" i="25"/>
  <c r="K23"/>
  <c r="Q23" i="23"/>
  <c r="S23"/>
  <c r="O23"/>
  <c r="J29" i="35"/>
  <c r="S24" i="20"/>
  <c r="K24" i="23"/>
  <c r="T19" i="25"/>
  <c r="H19" i="27"/>
  <c r="J22" i="36"/>
  <c r="J21" i="38"/>
  <c r="O26" i="20"/>
  <c r="K26" i="23"/>
  <c r="Q26" i="20"/>
  <c r="S26"/>
  <c r="K15" i="23"/>
  <c r="O15" i="20"/>
  <c r="Q15"/>
  <c r="S15"/>
  <c r="J20" i="38"/>
  <c r="O37" i="27"/>
  <c r="K16" i="30"/>
  <c r="O16" i="28"/>
  <c r="R16"/>
  <c r="P16"/>
  <c r="T25" i="29"/>
  <c r="H23" i="31"/>
  <c r="V32" i="29"/>
  <c r="N30" i="31"/>
  <c r="K20" i="23"/>
  <c r="O20" i="20"/>
  <c r="Q20"/>
  <c r="S20"/>
  <c r="J17" i="34"/>
  <c r="K32" i="31"/>
  <c r="Q34" i="29"/>
  <c r="S28" i="23"/>
  <c r="Q28"/>
  <c r="O28"/>
  <c r="K28" i="25"/>
  <c r="J16" i="40"/>
  <c r="K21" i="29"/>
  <c r="Q21" i="27"/>
  <c r="O21"/>
  <c r="S21"/>
  <c r="K25" i="36"/>
  <c r="S25" s="1"/>
  <c r="K21" i="39"/>
  <c r="O21" i="37"/>
  <c r="H22" i="47"/>
  <c r="S22" s="1"/>
  <c r="S22" i="45"/>
  <c r="H15" i="29"/>
  <c r="T15" i="27"/>
  <c r="J19" i="36"/>
  <c r="O20" i="24"/>
  <c r="O24" i="20"/>
  <c r="Q24"/>
  <c r="K16" i="33" l="1"/>
  <c r="O16" i="30"/>
  <c r="J27" i="39"/>
  <c r="R25" i="37"/>
  <c r="S28" i="25"/>
  <c r="K35" i="27"/>
  <c r="O28" i="25"/>
  <c r="Q28"/>
  <c r="V30" i="31"/>
  <c r="N28" i="32"/>
  <c r="K22" i="42"/>
  <c r="O22" i="40"/>
  <c r="J22"/>
  <c r="R26" i="39"/>
  <c r="T25" i="23"/>
  <c r="H25" i="25"/>
  <c r="S24" i="23"/>
  <c r="Q24"/>
  <c r="K24" i="25"/>
  <c r="O24" i="23"/>
  <c r="P26" i="39"/>
  <c r="T20" i="27"/>
  <c r="H20" i="29"/>
  <c r="K27" i="39"/>
  <c r="O25" i="37"/>
  <c r="P25"/>
  <c r="V31" i="29"/>
  <c r="N29" i="31"/>
  <c r="H22" i="29"/>
  <c r="T22" i="27"/>
  <c r="K19" i="40"/>
  <c r="O21" i="39"/>
  <c r="H23" i="32"/>
  <c r="T23" i="31"/>
  <c r="K15" i="25"/>
  <c r="S15" i="23"/>
  <c r="Q15"/>
  <c r="O15"/>
  <c r="H28" i="38"/>
  <c r="T28" i="36"/>
  <c r="J17" i="37"/>
  <c r="J20" i="41"/>
  <c r="J16"/>
  <c r="N23" i="35"/>
  <c r="V23" i="32"/>
  <c r="T19" i="27"/>
  <c r="H19" i="29"/>
  <c r="T16" i="27"/>
  <c r="H16" i="29"/>
  <c r="H27" i="35"/>
  <c r="T27" i="32"/>
  <c r="O18" i="25"/>
  <c r="K18" i="27"/>
  <c r="S18" i="25"/>
  <c r="Q18"/>
  <c r="J25" i="41"/>
  <c r="S25" i="38"/>
  <c r="O16" i="29"/>
  <c r="K16" i="31"/>
  <c r="S16" i="29"/>
  <c r="Q16"/>
  <c r="J19" i="26"/>
  <c r="P19" i="24"/>
  <c r="R19"/>
  <c r="H19" i="34"/>
  <c r="S19" i="33"/>
  <c r="K25" i="38"/>
  <c r="Q25" i="36"/>
  <c r="J29"/>
  <c r="S17" i="26"/>
  <c r="H17" i="28"/>
  <c r="K17" i="30"/>
  <c r="O17" i="28"/>
  <c r="P17"/>
  <c r="R17"/>
  <c r="T18" i="27"/>
  <c r="H18" i="29"/>
  <c r="J23" i="32"/>
  <c r="H34" i="29"/>
  <c r="T37" i="27"/>
  <c r="J21" i="34"/>
  <c r="R21" i="33"/>
  <c r="J27" i="41"/>
  <c r="V34" i="29"/>
  <c r="N32" i="31"/>
  <c r="K29" i="32"/>
  <c r="Q32" i="31"/>
  <c r="S32"/>
  <c r="S26" i="23"/>
  <c r="K26" i="25"/>
  <c r="O26" i="23"/>
  <c r="Q26"/>
  <c r="O19" i="25"/>
  <c r="K19" i="27"/>
  <c r="S19" i="25"/>
  <c r="Q19"/>
  <c r="S16" i="28"/>
  <c r="H16" i="30"/>
  <c r="J15" i="43"/>
  <c r="J15" i="44" s="1"/>
  <c r="J17" i="41"/>
  <c r="H33" i="27"/>
  <c r="T26" i="25"/>
  <c r="O21" i="34"/>
  <c r="K23" i="37"/>
  <c r="Q21" i="29"/>
  <c r="O21"/>
  <c r="K21" i="31"/>
  <c r="S21" i="29"/>
  <c r="J19" i="38"/>
  <c r="V28" i="31"/>
  <c r="N26" i="32"/>
  <c r="J28" i="41"/>
  <c r="K18" i="39"/>
  <c r="P18" i="37"/>
  <c r="O18"/>
  <c r="N24" i="35"/>
  <c r="V24" i="32"/>
  <c r="J18" i="41"/>
  <c r="H27" i="29"/>
  <c r="T31" i="27"/>
  <c r="K29" i="31"/>
  <c r="S31" i="29"/>
  <c r="O31"/>
  <c r="Q31"/>
  <c r="O23" i="25"/>
  <c r="K27" i="27"/>
  <c r="Q23" i="25"/>
  <c r="S23"/>
  <c r="V27" i="31"/>
  <c r="O27" s="1"/>
  <c r="N25" i="32"/>
  <c r="O22" i="29"/>
  <c r="S22"/>
  <c r="K22" i="31"/>
  <c r="Q22" i="29"/>
  <c r="J24" i="35"/>
  <c r="S25" i="39"/>
  <c r="H21" i="40"/>
  <c r="H15" i="31"/>
  <c r="T15" i="29"/>
  <c r="J26" i="41"/>
  <c r="Q17" i="23"/>
  <c r="O17"/>
  <c r="K17" i="25"/>
  <c r="S17" i="23"/>
  <c r="J22" i="38"/>
  <c r="J20" i="22"/>
  <c r="P20" i="21"/>
  <c r="R20"/>
  <c r="H20" i="24"/>
  <c r="S20" i="22"/>
  <c r="J18" i="39"/>
  <c r="R18" i="37"/>
  <c r="S23" i="45"/>
  <c r="H23" i="47"/>
  <c r="S23" s="1"/>
  <c r="O20" i="28"/>
  <c r="K20" i="30"/>
  <c r="O20" i="23"/>
  <c r="K20" i="25"/>
  <c r="S20" i="23"/>
  <c r="Q20"/>
  <c r="S18" i="26"/>
  <c r="H18" i="28"/>
  <c r="J21" i="41"/>
  <c r="J16" i="42"/>
  <c r="H21" i="29"/>
  <c r="T21" i="27"/>
  <c r="V22" i="29"/>
  <c r="N22" i="31"/>
  <c r="T17" i="23"/>
  <c r="H17" i="25"/>
  <c r="AA17" i="9"/>
  <c r="AB17" s="1"/>
  <c r="AA16"/>
  <c r="AB16"/>
  <c r="AA19"/>
  <c r="AA20"/>
  <c r="AA21"/>
  <c r="AA22"/>
  <c r="AB22" s="1"/>
  <c r="AA23"/>
  <c r="AB23" s="1"/>
  <c r="AA24"/>
  <c r="AB24" s="1"/>
  <c r="AA25"/>
  <c r="AB25" s="1"/>
  <c r="AA26"/>
  <c r="AA27"/>
  <c r="AA28"/>
  <c r="AA29"/>
  <c r="AB29" s="1"/>
  <c r="AA15"/>
  <c r="AB15" s="1"/>
  <c r="X30"/>
  <c r="Y30"/>
  <c r="H16"/>
  <c r="H23"/>
  <c r="H24"/>
  <c r="H25"/>
  <c r="H26"/>
  <c r="H27"/>
  <c r="H28"/>
  <c r="H29"/>
  <c r="W29"/>
  <c r="AC29" s="1"/>
  <c r="W28"/>
  <c r="AC28" s="1"/>
  <c r="W27"/>
  <c r="AC27" s="1"/>
  <c r="W26"/>
  <c r="AC26" s="1"/>
  <c r="W25"/>
  <c r="AC25" s="1"/>
  <c r="W17"/>
  <c r="AC17" s="1"/>
  <c r="W18"/>
  <c r="W30" s="1"/>
  <c r="W19"/>
  <c r="AC19" s="1"/>
  <c r="W20"/>
  <c r="AC20" s="1"/>
  <c r="W21"/>
  <c r="AC21" s="1"/>
  <c r="W22"/>
  <c r="AC22" s="1"/>
  <c r="W23"/>
  <c r="AC23" s="1"/>
  <c r="W16"/>
  <c r="AC16" s="1"/>
  <c r="W15"/>
  <c r="V28"/>
  <c r="J28" s="1"/>
  <c r="I28"/>
  <c r="I27"/>
  <c r="K16"/>
  <c r="O16" s="1"/>
  <c r="K17"/>
  <c r="O17" s="1"/>
  <c r="K24"/>
  <c r="K29"/>
  <c r="K15"/>
  <c r="I23"/>
  <c r="Q17" i="10"/>
  <c r="Q19"/>
  <c r="Q18"/>
  <c r="J18" s="1"/>
  <c r="Q16"/>
  <c r="J16" s="1"/>
  <c r="A3" i="9"/>
  <c r="W31"/>
  <c r="A35" i="8"/>
  <c r="X18"/>
  <c r="V18"/>
  <c r="X20"/>
  <c r="K20" s="1"/>
  <c r="V20"/>
  <c r="X19"/>
  <c r="K19" s="1"/>
  <c r="V19"/>
  <c r="X27"/>
  <c r="K27" s="1"/>
  <c r="V27"/>
  <c r="W25"/>
  <c r="J25" s="1"/>
  <c r="W31"/>
  <c r="W29"/>
  <c r="J29" s="1"/>
  <c r="W28"/>
  <c r="W27"/>
  <c r="W26"/>
  <c r="J26" s="1"/>
  <c r="W24"/>
  <c r="J24" s="1"/>
  <c r="W22"/>
  <c r="J22" s="1"/>
  <c r="W21"/>
  <c r="J21" s="1"/>
  <c r="W20"/>
  <c r="W19"/>
  <c r="W18"/>
  <c r="W16"/>
  <c r="J16" s="1"/>
  <c r="W15"/>
  <c r="J15" s="1"/>
  <c r="W23"/>
  <c r="X23"/>
  <c r="K23" s="1"/>
  <c r="V23"/>
  <c r="K15"/>
  <c r="K16"/>
  <c r="K18"/>
  <c r="K21"/>
  <c r="K22"/>
  <c r="K24"/>
  <c r="K25"/>
  <c r="K26"/>
  <c r="K28"/>
  <c r="K29"/>
  <c r="J23"/>
  <c r="J28"/>
  <c r="W17"/>
  <c r="X17"/>
  <c r="K17" s="1"/>
  <c r="V17"/>
  <c r="J17" s="1"/>
  <c r="O25"/>
  <c r="K25" i="9" s="1"/>
  <c r="A3" i="8"/>
  <c r="O16"/>
  <c r="O17"/>
  <c r="O18"/>
  <c r="K18" i="9" s="1"/>
  <c r="O18" s="1"/>
  <c r="O19" i="8"/>
  <c r="K19" i="9" s="1"/>
  <c r="O19" s="1"/>
  <c r="O20" i="8"/>
  <c r="K20" i="9" s="1"/>
  <c r="O20" s="1"/>
  <c r="O21" i="8"/>
  <c r="K21" i="9" s="1"/>
  <c r="O21" s="1"/>
  <c r="O22" i="8"/>
  <c r="K22" i="9" s="1"/>
  <c r="O22" s="1"/>
  <c r="O23" i="8"/>
  <c r="K23" i="9" s="1"/>
  <c r="O26" i="8"/>
  <c r="K26" i="9" s="1"/>
  <c r="O26" s="1"/>
  <c r="O27" i="8"/>
  <c r="K27" i="9" s="1"/>
  <c r="O27" s="1"/>
  <c r="O28" i="8"/>
  <c r="O29"/>
  <c r="O15"/>
  <c r="T30"/>
  <c r="R30"/>
  <c r="J21" i="7"/>
  <c r="J19" i="10" s="1"/>
  <c r="J19" i="7"/>
  <c r="K19"/>
  <c r="O19" s="1"/>
  <c r="K20"/>
  <c r="O20" s="1"/>
  <c r="K21"/>
  <c r="K19" i="10" s="1"/>
  <c r="O19" s="1"/>
  <c r="O18" i="7"/>
  <c r="I18"/>
  <c r="K18" s="1"/>
  <c r="K16" i="10" s="1"/>
  <c r="O16" s="1"/>
  <c r="J18" i="7"/>
  <c r="Q18"/>
  <c r="Q21"/>
  <c r="Q20"/>
  <c r="Q19"/>
  <c r="J19" i="6"/>
  <c r="J20"/>
  <c r="J15"/>
  <c r="T30"/>
  <c r="R30"/>
  <c r="Q21" i="2"/>
  <c r="J19" i="5"/>
  <c r="Q19" i="2"/>
  <c r="K19" i="5"/>
  <c r="O19" s="1"/>
  <c r="K18"/>
  <c r="O18" s="1"/>
  <c r="I19"/>
  <c r="I18"/>
  <c r="Q19"/>
  <c r="Q18"/>
  <c r="R30" i="4"/>
  <c r="J19"/>
  <c r="J20"/>
  <c r="J21"/>
  <c r="J21" i="6" s="1"/>
  <c r="J22" i="4"/>
  <c r="Q22" s="1"/>
  <c r="J23"/>
  <c r="J23" i="6" s="1"/>
  <c r="J15" i="4"/>
  <c r="K18"/>
  <c r="K18" i="6" s="1"/>
  <c r="O18" s="1"/>
  <c r="K22" i="4"/>
  <c r="O22" s="1"/>
  <c r="K24"/>
  <c r="K24" i="6" s="1"/>
  <c r="O24" s="1"/>
  <c r="K25" i="4"/>
  <c r="K25" i="6" s="1"/>
  <c r="O25" s="1"/>
  <c r="K18" i="2"/>
  <c r="J18"/>
  <c r="J18" i="5" s="1"/>
  <c r="P18" s="1"/>
  <c r="O21" i="2"/>
  <c r="I21"/>
  <c r="J28" i="1"/>
  <c r="J28" i="4" s="1"/>
  <c r="J28" i="6" s="1"/>
  <c r="J29" i="1"/>
  <c r="J29" i="4" s="1"/>
  <c r="J29" i="6" s="1"/>
  <c r="J27" i="1"/>
  <c r="Q27" s="1"/>
  <c r="J26"/>
  <c r="J26" i="4" s="1"/>
  <c r="J25" i="1"/>
  <c r="Q25" s="1"/>
  <c r="J24"/>
  <c r="J24" i="4" s="1"/>
  <c r="J24" i="6" s="1"/>
  <c r="J23" i="1"/>
  <c r="J22"/>
  <c r="J21"/>
  <c r="J20"/>
  <c r="J19"/>
  <c r="J18"/>
  <c r="J18" i="4" s="1"/>
  <c r="J17" i="1"/>
  <c r="J17" i="4" s="1"/>
  <c r="J17" i="6" s="1"/>
  <c r="Q24" i="1"/>
  <c r="J16"/>
  <c r="J16" i="4" s="1"/>
  <c r="J16" i="6" s="1"/>
  <c r="O23" i="1"/>
  <c r="K23" i="4" s="1"/>
  <c r="O25" i="1"/>
  <c r="J15"/>
  <c r="O19"/>
  <c r="K19" i="4" s="1"/>
  <c r="O18" i="1"/>
  <c r="K21"/>
  <c r="O21" s="1"/>
  <c r="K21" i="4" s="1"/>
  <c r="K16" i="1"/>
  <c r="O16" s="1"/>
  <c r="K16" i="4" s="1"/>
  <c r="K17" i="1"/>
  <c r="Q17" s="1"/>
  <c r="K18"/>
  <c r="Q18" s="1"/>
  <c r="K19"/>
  <c r="Q19" s="1"/>
  <c r="K20"/>
  <c r="Q20" s="1"/>
  <c r="K22"/>
  <c r="O22" s="1"/>
  <c r="K23"/>
  <c r="K24"/>
  <c r="O24" s="1"/>
  <c r="K25"/>
  <c r="K26"/>
  <c r="K27"/>
  <c r="O27" s="1"/>
  <c r="K27" i="4" s="1"/>
  <c r="K28" i="1"/>
  <c r="O28" s="1"/>
  <c r="K28" i="4" s="1"/>
  <c r="K29" i="1"/>
  <c r="O29" s="1"/>
  <c r="K29" i="4" s="1"/>
  <c r="K15" i="1"/>
  <c r="Q15" s="1"/>
  <c r="Q27" i="4" l="1"/>
  <c r="O27"/>
  <c r="K27" i="6"/>
  <c r="O27" s="1"/>
  <c r="J26"/>
  <c r="V22" i="9"/>
  <c r="J22" s="1"/>
  <c r="R22" s="1"/>
  <c r="V23" i="13"/>
  <c r="V25" i="11"/>
  <c r="K19"/>
  <c r="J19"/>
  <c r="R19" s="1"/>
  <c r="V24" i="9"/>
  <c r="J24" s="1"/>
  <c r="R24" s="1"/>
  <c r="V32" i="11"/>
  <c r="V28" i="13"/>
  <c r="Q18" i="4"/>
  <c r="J18" i="6"/>
  <c r="Q18" s="1"/>
  <c r="K20" i="12"/>
  <c r="J20"/>
  <c r="O23" i="9"/>
  <c r="J35" i="11"/>
  <c r="R35" s="1"/>
  <c r="K35"/>
  <c r="V29" i="13"/>
  <c r="V25" i="9"/>
  <c r="J25" s="1"/>
  <c r="R25" s="1"/>
  <c r="V33" i="11"/>
  <c r="V17" i="9"/>
  <c r="J17" s="1"/>
  <c r="R17" s="1"/>
  <c r="V21" i="11"/>
  <c r="V19" i="13"/>
  <c r="K25" i="11"/>
  <c r="J25"/>
  <c r="R25" s="1"/>
  <c r="Q19" i="4"/>
  <c r="K19" i="6"/>
  <c r="O19" s="1"/>
  <c r="O19" i="4"/>
  <c r="K34" i="11"/>
  <c r="J34"/>
  <c r="R34" s="1"/>
  <c r="K23" i="6"/>
  <c r="O23" s="1"/>
  <c r="O23" i="4"/>
  <c r="Q23"/>
  <c r="K16" i="12"/>
  <c r="J16"/>
  <c r="K29" i="6"/>
  <c r="O29" s="1"/>
  <c r="O29" i="4"/>
  <c r="K16" i="6"/>
  <c r="O16" s="1"/>
  <c r="O16" i="4"/>
  <c r="K23" i="11"/>
  <c r="J23"/>
  <c r="K30"/>
  <c r="J30"/>
  <c r="K28" i="6"/>
  <c r="O28" s="1"/>
  <c r="O28" i="4"/>
  <c r="K21" i="6"/>
  <c r="O21" s="1"/>
  <c r="O21" i="4"/>
  <c r="V16" i="13"/>
  <c r="V17" i="11"/>
  <c r="V16" i="9"/>
  <c r="J16" s="1"/>
  <c r="R16" s="1"/>
  <c r="K22" i="11"/>
  <c r="J22"/>
  <c r="R22" s="1"/>
  <c r="O25" i="4"/>
  <c r="K18" i="10"/>
  <c r="K22" i="32"/>
  <c r="S22" i="31"/>
  <c r="Q22"/>
  <c r="O22"/>
  <c r="H29" i="29"/>
  <c r="T33" i="27"/>
  <c r="O24" i="4"/>
  <c r="O21" i="7"/>
  <c r="K17" i="10"/>
  <c r="O17" s="1"/>
  <c r="K28" i="9"/>
  <c r="O28" s="1"/>
  <c r="AB21"/>
  <c r="V21"/>
  <c r="J21" s="1"/>
  <c r="R21" s="1"/>
  <c r="V21" i="13"/>
  <c r="V23" i="11"/>
  <c r="R19" i="5"/>
  <c r="V25" i="32"/>
  <c r="O25" s="1"/>
  <c r="N25" i="35"/>
  <c r="V31" i="11"/>
  <c r="V27" i="13"/>
  <c r="V23" i="9"/>
  <c r="J23" s="1"/>
  <c r="R23" s="1"/>
  <c r="H17" i="27"/>
  <c r="T17" i="25"/>
  <c r="S16" i="30"/>
  <c r="H16" i="33"/>
  <c r="T18" i="29"/>
  <c r="H18" i="31"/>
  <c r="V18" i="13"/>
  <c r="V19" i="11"/>
  <c r="V26" i="9"/>
  <c r="J26" s="1"/>
  <c r="R26" s="1"/>
  <c r="H20"/>
  <c r="AB28"/>
  <c r="H15" i="32"/>
  <c r="T15" i="31"/>
  <c r="N24" i="36"/>
  <c r="V24" i="35"/>
  <c r="K29"/>
  <c r="Q29" i="32"/>
  <c r="S29"/>
  <c r="J16" i="43"/>
  <c r="H23" i="35"/>
  <c r="T23" i="32"/>
  <c r="O22" i="42"/>
  <c r="K22" i="45"/>
  <c r="AB20" i="9"/>
  <c r="AB19"/>
  <c r="Q26" i="1"/>
  <c r="H21" i="9"/>
  <c r="Q23" i="1"/>
  <c r="O18" i="4"/>
  <c r="J25"/>
  <c r="J25" i="6" s="1"/>
  <c r="J27" i="8"/>
  <c r="J17" i="10"/>
  <c r="R17" s="1"/>
  <c r="H19" i="9"/>
  <c r="AB27"/>
  <c r="V22" i="31"/>
  <c r="N22" i="32"/>
  <c r="K20" i="27"/>
  <c r="Q20" i="25"/>
  <c r="O20"/>
  <c r="S20"/>
  <c r="H21" i="42"/>
  <c r="S21" i="40"/>
  <c r="K25" i="29"/>
  <c r="O27" i="27"/>
  <c r="Q27"/>
  <c r="S27"/>
  <c r="V32" i="31"/>
  <c r="O32" s="1"/>
  <c r="N29" i="32"/>
  <c r="S19" i="34"/>
  <c r="H21" i="37"/>
  <c r="O18" i="27"/>
  <c r="K18" i="29"/>
  <c r="S18" i="27"/>
  <c r="Q18"/>
  <c r="N28" i="35"/>
  <c r="V28" i="32"/>
  <c r="K27"/>
  <c r="S29" i="31"/>
  <c r="Q29"/>
  <c r="J23" i="37"/>
  <c r="R21" i="34"/>
  <c r="J17" i="43"/>
  <c r="J29" i="38"/>
  <c r="J18" i="40"/>
  <c r="R18" i="39"/>
  <c r="J19" i="41"/>
  <c r="J27" i="4"/>
  <c r="J27" i="6" s="1"/>
  <c r="H15" i="9"/>
  <c r="AC15"/>
  <c r="H20" i="26"/>
  <c r="S20" i="24"/>
  <c r="O21" i="31"/>
  <c r="K21" i="32"/>
  <c r="S21" i="31"/>
  <c r="Q21"/>
  <c r="K25" i="41"/>
  <c r="Q25" i="38"/>
  <c r="T20" i="29"/>
  <c r="H20" i="31"/>
  <c r="J22" i="6"/>
  <c r="H17" i="9"/>
  <c r="AB26"/>
  <c r="J20" i="24"/>
  <c r="R20" i="22"/>
  <c r="P20"/>
  <c r="P21" i="34"/>
  <c r="J20" i="43"/>
  <c r="V15" i="11"/>
  <c r="V15" i="13"/>
  <c r="V29" i="9"/>
  <c r="J29" s="1"/>
  <c r="R29" s="1"/>
  <c r="V26" i="11"/>
  <c r="V24" i="13"/>
  <c r="K21" i="11"/>
  <c r="J21"/>
  <c r="V15" i="9"/>
  <c r="J15" s="1"/>
  <c r="R15" s="1"/>
  <c r="O20" i="30"/>
  <c r="K20" i="33"/>
  <c r="K18" i="40"/>
  <c r="O18" i="39"/>
  <c r="P18"/>
  <c r="K25"/>
  <c r="P23" i="37"/>
  <c r="O23"/>
  <c r="K19" i="29"/>
  <c r="S19" i="27"/>
  <c r="O19"/>
  <c r="Q19"/>
  <c r="K19" i="42"/>
  <c r="O19" i="40"/>
  <c r="O24" i="25"/>
  <c r="K31" i="27"/>
  <c r="S24" i="25"/>
  <c r="Q24"/>
  <c r="J24" i="36"/>
  <c r="J27" i="43"/>
  <c r="P17" i="30"/>
  <c r="K17" i="33"/>
  <c r="R17" i="30"/>
  <c r="O17"/>
  <c r="P19" i="26"/>
  <c r="J19" i="28"/>
  <c r="R19" i="26"/>
  <c r="T27" i="35"/>
  <c r="H27" i="36"/>
  <c r="J17" i="39"/>
  <c r="T21" i="29"/>
  <c r="H21" i="31"/>
  <c r="J28" i="43"/>
  <c r="S17" i="28"/>
  <c r="H17" i="30"/>
  <c r="T16" i="29"/>
  <c r="H16" i="31"/>
  <c r="H22"/>
  <c r="T22" i="29"/>
  <c r="K32"/>
  <c r="S35" i="27"/>
  <c r="O35"/>
  <c r="Q35"/>
  <c r="O17" i="25"/>
  <c r="S17"/>
  <c r="K17" i="27"/>
  <c r="Q17" i="25"/>
  <c r="H28" i="41"/>
  <c r="T28" i="38"/>
  <c r="N27" i="32"/>
  <c r="V29" i="31"/>
  <c r="O29" s="1"/>
  <c r="H32" i="27"/>
  <c r="T25" i="25"/>
  <c r="K17" i="11"/>
  <c r="J17"/>
  <c r="R17" s="1"/>
  <c r="J22" i="41"/>
  <c r="W30" i="8"/>
  <c r="W32" s="1"/>
  <c r="O26" i="25"/>
  <c r="K33" i="27"/>
  <c r="Q26" i="25"/>
  <c r="S26"/>
  <c r="O16" i="31"/>
  <c r="K16" i="32"/>
  <c r="S16" i="31"/>
  <c r="Q16"/>
  <c r="T19" i="29"/>
  <c r="H19" i="31"/>
  <c r="Q24" i="8"/>
  <c r="Q29" i="1"/>
  <c r="J23" i="40"/>
  <c r="R27" i="39"/>
  <c r="J21" i="43"/>
  <c r="H26" i="31"/>
  <c r="T27" i="29"/>
  <c r="T34"/>
  <c r="H32" i="31"/>
  <c r="K22" i="6"/>
  <c r="O22" s="1"/>
  <c r="H18" i="30"/>
  <c r="S18" i="28"/>
  <c r="J22" i="42"/>
  <c r="P22" s="1"/>
  <c r="R22" i="40"/>
  <c r="J16" i="45"/>
  <c r="N26" i="35"/>
  <c r="V26" i="32"/>
  <c r="Q16" i="1"/>
  <c r="AC18" i="9"/>
  <c r="H18"/>
  <c r="V25" i="13"/>
  <c r="V28" i="11"/>
  <c r="H22" i="9"/>
  <c r="AB18"/>
  <c r="J26" i="43"/>
  <c r="J18"/>
  <c r="J15" i="46"/>
  <c r="J15" i="48" s="1"/>
  <c r="J23" i="35"/>
  <c r="J25" i="43"/>
  <c r="S25" i="41"/>
  <c r="N23" i="36"/>
  <c r="V23" i="35"/>
  <c r="O15" i="25"/>
  <c r="K15" i="27"/>
  <c r="S15" i="25"/>
  <c r="Q15"/>
  <c r="K23" i="40"/>
  <c r="P27" i="39"/>
  <c r="O27"/>
  <c r="P22" i="40"/>
  <c r="K16" i="34"/>
  <c r="O16" i="33"/>
  <c r="O24" i="9"/>
  <c r="K41"/>
  <c r="W32"/>
  <c r="Q24"/>
  <c r="Q21"/>
  <c r="Q29"/>
  <c r="Q25"/>
  <c r="Q22"/>
  <c r="O25"/>
  <c r="O29"/>
  <c r="O15"/>
  <c r="Q28"/>
  <c r="Q16"/>
  <c r="Q17"/>
  <c r="P18" i="10"/>
  <c r="R18"/>
  <c r="P16"/>
  <c r="O18"/>
  <c r="R19"/>
  <c r="R16"/>
  <c r="P17"/>
  <c r="P19"/>
  <c r="J18" i="8"/>
  <c r="J20"/>
  <c r="J19"/>
  <c r="Q15"/>
  <c r="Q16"/>
  <c r="Q17"/>
  <c r="Q21"/>
  <c r="Q22"/>
  <c r="Q23"/>
  <c r="Q25"/>
  <c r="Q26"/>
  <c r="Q27"/>
  <c r="Q28"/>
  <c r="Q29"/>
  <c r="R21" i="7"/>
  <c r="R20"/>
  <c r="R19"/>
  <c r="P20"/>
  <c r="P21"/>
  <c r="R18"/>
  <c r="P18"/>
  <c r="P19"/>
  <c r="Q16" i="6"/>
  <c r="Q19"/>
  <c r="Q21"/>
  <c r="Q22"/>
  <c r="Q23"/>
  <c r="Q24"/>
  <c r="Q25"/>
  <c r="Q27"/>
  <c r="Q28"/>
  <c r="Q29"/>
  <c r="P19" i="5"/>
  <c r="R18"/>
  <c r="Q25" i="4"/>
  <c r="Q29"/>
  <c r="Q21"/>
  <c r="Q16"/>
  <c r="Q20"/>
  <c r="Q24"/>
  <c r="Q28"/>
  <c r="O17" i="1"/>
  <c r="K17" i="4" s="1"/>
  <c r="O15" i="1"/>
  <c r="K15" i="4" s="1"/>
  <c r="Q28" i="1"/>
  <c r="Q21"/>
  <c r="O20"/>
  <c r="K20" i="4" s="1"/>
  <c r="O26" i="1"/>
  <c r="K26" i="4" s="1"/>
  <c r="Q22" i="1"/>
  <c r="J23" i="36" l="1"/>
  <c r="O26" i="4"/>
  <c r="K26" i="6"/>
  <c r="K16" i="35"/>
  <c r="Q16" i="32"/>
  <c r="O16"/>
  <c r="S16"/>
  <c r="H28" i="29"/>
  <c r="T32" i="27"/>
  <c r="K30" i="31"/>
  <c r="S32" i="29"/>
  <c r="O32"/>
  <c r="Q32"/>
  <c r="J17" i="40"/>
  <c r="J24" i="38"/>
  <c r="S20" i="26"/>
  <c r="H20" i="28"/>
  <c r="H21" i="39"/>
  <c r="S21" i="37"/>
  <c r="H18" i="32"/>
  <c r="T18" i="31"/>
  <c r="K23" i="42"/>
  <c r="O23" i="40"/>
  <c r="P23"/>
  <c r="H24" i="32"/>
  <c r="T26" i="31"/>
  <c r="T27" i="36"/>
  <c r="H27" i="38"/>
  <c r="J25" i="39"/>
  <c r="R23" i="37"/>
  <c r="K20" i="29"/>
  <c r="Q20" i="27"/>
  <c r="O20"/>
  <c r="S20"/>
  <c r="K29" i="36"/>
  <c r="Q29" i="35"/>
  <c r="S29"/>
  <c r="K22"/>
  <c r="Q22" i="32"/>
  <c r="S22"/>
  <c r="R30" i="11"/>
  <c r="J16" i="47"/>
  <c r="J27" i="44"/>
  <c r="H20" i="32"/>
  <c r="T20" i="31"/>
  <c r="N22" i="35"/>
  <c r="V22" i="32"/>
  <c r="O22" s="1"/>
  <c r="K19" i="12"/>
  <c r="O19" s="1"/>
  <c r="J19"/>
  <c r="P19" s="1"/>
  <c r="O21" i="11"/>
  <c r="Q21"/>
  <c r="K19" i="31"/>
  <c r="O19" i="29"/>
  <c r="S19"/>
  <c r="Q19"/>
  <c r="O20" i="4"/>
  <c r="K20" i="6"/>
  <c r="Q19" i="8"/>
  <c r="V31" i="13"/>
  <c r="V19" i="9"/>
  <c r="J19" s="1"/>
  <c r="V35" i="11"/>
  <c r="N26" i="36"/>
  <c r="V26" i="35"/>
  <c r="N27"/>
  <c r="V27" i="32"/>
  <c r="O27" s="1"/>
  <c r="T22" i="31"/>
  <c r="H22" i="32"/>
  <c r="N29" i="35"/>
  <c r="V29" i="32"/>
  <c r="O29" s="1"/>
  <c r="R28" i="9"/>
  <c r="H16" i="34"/>
  <c r="S16" i="33"/>
  <c r="O30" i="11"/>
  <c r="Q30"/>
  <c r="Q20" i="8"/>
  <c r="V20" i="9"/>
  <c r="J20" s="1"/>
  <c r="V26" i="13"/>
  <c r="V30" i="11"/>
  <c r="J18" i="44"/>
  <c r="J21"/>
  <c r="H16" i="32"/>
  <c r="T16" i="31"/>
  <c r="K21" i="40"/>
  <c r="O25" i="39"/>
  <c r="P25"/>
  <c r="R23" i="11"/>
  <c r="O34"/>
  <c r="Q34"/>
  <c r="Q35"/>
  <c r="O35"/>
  <c r="O19"/>
  <c r="Q19"/>
  <c r="R19" i="28"/>
  <c r="J19" i="30"/>
  <c r="P19" i="28"/>
  <c r="V24" i="36"/>
  <c r="N24" i="38"/>
  <c r="N24" i="41"/>
  <c r="N24" i="43" s="1"/>
  <c r="N24" i="44" s="1"/>
  <c r="N24" i="46" s="1"/>
  <c r="K28" i="11"/>
  <c r="J28"/>
  <c r="O23"/>
  <c r="Q23"/>
  <c r="J26" i="44"/>
  <c r="H17" i="33"/>
  <c r="S17" i="30"/>
  <c r="K25" i="43"/>
  <c r="Q25" i="41"/>
  <c r="J19" i="43"/>
  <c r="K27" i="35"/>
  <c r="Q27" i="32"/>
  <c r="S27"/>
  <c r="O22" i="45"/>
  <c r="K22" i="47"/>
  <c r="H17" i="29"/>
  <c r="T17" i="27"/>
  <c r="K18" i="12"/>
  <c r="J18"/>
  <c r="O22" i="11"/>
  <c r="Q22"/>
  <c r="Q23" i="9"/>
  <c r="K29" i="29"/>
  <c r="S33" i="27"/>
  <c r="Q33"/>
  <c r="O33"/>
  <c r="J22" i="45"/>
  <c r="R22" i="42"/>
  <c r="S17" i="27"/>
  <c r="K17" i="29"/>
  <c r="O17" i="27"/>
  <c r="Q17"/>
  <c r="K18" i="42"/>
  <c r="P18" i="40"/>
  <c r="O18"/>
  <c r="J20" i="44"/>
  <c r="H15" i="35"/>
  <c r="T15" i="32"/>
  <c r="K31" i="11"/>
  <c r="J31"/>
  <c r="Q15" i="27"/>
  <c r="O15"/>
  <c r="K15" i="29"/>
  <c r="S15" i="27"/>
  <c r="H28" i="43"/>
  <c r="T28" i="41"/>
  <c r="K17" i="6"/>
  <c r="O17" i="4"/>
  <c r="J23" i="42"/>
  <c r="R23" i="40"/>
  <c r="N23" i="41"/>
  <c r="N23" i="43" s="1"/>
  <c r="N23" i="44" s="1"/>
  <c r="N23" i="46" s="1"/>
  <c r="V23" i="36"/>
  <c r="N23" i="38"/>
  <c r="J18" i="42"/>
  <c r="R18" i="40"/>
  <c r="V22" i="11"/>
  <c r="V20" i="13"/>
  <c r="V27" i="9"/>
  <c r="J27" s="1"/>
  <c r="H23" i="36"/>
  <c r="T23" i="35"/>
  <c r="O25" i="11"/>
  <c r="Q25"/>
  <c r="O20" i="12"/>
  <c r="P20"/>
  <c r="Q26" i="4"/>
  <c r="J15" i="11"/>
  <c r="K15"/>
  <c r="K32"/>
  <c r="J32"/>
  <c r="K20" i="34"/>
  <c r="O20" i="33"/>
  <c r="V28" i="35"/>
  <c r="N28" i="36"/>
  <c r="K26" i="11"/>
  <c r="J26"/>
  <c r="J22" i="43"/>
  <c r="J22" i="44" s="1"/>
  <c r="J28"/>
  <c r="K17" i="34"/>
  <c r="O17" i="33"/>
  <c r="P17"/>
  <c r="R17"/>
  <c r="K33" i="11"/>
  <c r="J33"/>
  <c r="J25" i="44"/>
  <c r="S25" i="43"/>
  <c r="T21" i="31"/>
  <c r="H21" i="32"/>
  <c r="K21" i="35"/>
  <c r="Q21" i="32"/>
  <c r="O21"/>
  <c r="S21"/>
  <c r="J29" i="41"/>
  <c r="S21" i="42"/>
  <c r="H21" i="45"/>
  <c r="N25" i="36"/>
  <c r="V25" i="35"/>
  <c r="O25" s="1"/>
  <c r="T29" i="29"/>
  <c r="H28" i="31"/>
  <c r="O15" i="4"/>
  <c r="K15" i="6"/>
  <c r="Q15" i="4"/>
  <c r="Q18" i="8"/>
  <c r="V30" i="13"/>
  <c r="V18" i="9"/>
  <c r="J18" s="1"/>
  <c r="V34" i="11"/>
  <c r="Q31" i="27"/>
  <c r="K27" i="29"/>
  <c r="O31" i="27"/>
  <c r="S31"/>
  <c r="O25" i="29"/>
  <c r="K23" i="31"/>
  <c r="Q25" i="29"/>
  <c r="S25"/>
  <c r="H18" i="33"/>
  <c r="S18" i="30"/>
  <c r="H19" i="32"/>
  <c r="T19" i="31"/>
  <c r="K19" i="45"/>
  <c r="O19" i="42"/>
  <c r="O16" i="34"/>
  <c r="K16" i="37"/>
  <c r="P16" i="34"/>
  <c r="R16"/>
  <c r="Q17" i="4"/>
  <c r="T32" i="31"/>
  <c r="H29" i="32"/>
  <c r="O17" i="11"/>
  <c r="Q17"/>
  <c r="R21"/>
  <c r="J20" i="26"/>
  <c r="P20" i="24"/>
  <c r="R20"/>
  <c r="O18" i="29"/>
  <c r="K18" i="31"/>
  <c r="S18" i="29"/>
  <c r="Q18"/>
  <c r="J16" i="44"/>
  <c r="O16" i="12"/>
  <c r="P16"/>
  <c r="J17" i="44"/>
  <c r="Q26" i="9"/>
  <c r="Q15"/>
  <c r="P17" i="16"/>
  <c r="P16"/>
  <c r="K23" i="32" l="1"/>
  <c r="O23" i="31"/>
  <c r="Q23"/>
  <c r="S23"/>
  <c r="O28" i="11"/>
  <c r="Q28"/>
  <c r="O18" i="12"/>
  <c r="P18"/>
  <c r="O20" i="29"/>
  <c r="K20" i="31"/>
  <c r="Q20" i="29"/>
  <c r="S20"/>
  <c r="R26" i="11"/>
  <c r="R31"/>
  <c r="K25" i="44"/>
  <c r="S25" s="1"/>
  <c r="Q25" i="43"/>
  <c r="V26" i="36"/>
  <c r="N26" i="41"/>
  <c r="N26" i="43" s="1"/>
  <c r="N26" i="44" s="1"/>
  <c r="N26" i="46" s="1"/>
  <c r="N26" i="38"/>
  <c r="K19" i="13"/>
  <c r="J19"/>
  <c r="R19" s="1"/>
  <c r="S21" i="39"/>
  <c r="H19" i="40"/>
  <c r="T28" i="29"/>
  <c r="H27" i="31"/>
  <c r="K19" i="14"/>
  <c r="J19"/>
  <c r="J22" i="46"/>
  <c r="Q17" i="29"/>
  <c r="S17"/>
  <c r="O17"/>
  <c r="K17" i="31"/>
  <c r="J20" i="28"/>
  <c r="R20" i="26"/>
  <c r="P20"/>
  <c r="K26" i="31"/>
  <c r="O27" i="29"/>
  <c r="S27"/>
  <c r="Q27"/>
  <c r="V25" i="36"/>
  <c r="O25" s="1"/>
  <c r="N25" i="38"/>
  <c r="O25" s="1"/>
  <c r="N25" i="41"/>
  <c r="J25" i="46"/>
  <c r="O26" i="11"/>
  <c r="Q26"/>
  <c r="O31"/>
  <c r="Q31"/>
  <c r="H17" i="31"/>
  <c r="T17" i="29"/>
  <c r="K21" i="42"/>
  <c r="O21" i="40"/>
  <c r="P21"/>
  <c r="J26" i="13"/>
  <c r="R26" s="1"/>
  <c r="K26"/>
  <c r="J21" i="40"/>
  <c r="R25" i="39"/>
  <c r="S20" i="28"/>
  <c r="H20" i="30"/>
  <c r="J17" i="46"/>
  <c r="O19" i="45"/>
  <c r="K19" i="47"/>
  <c r="S21" i="45"/>
  <c r="H21" i="47"/>
  <c r="S21" s="1"/>
  <c r="R33" i="11"/>
  <c r="N28" i="38"/>
  <c r="V28" i="36"/>
  <c r="N28" i="41"/>
  <c r="N28" i="43" s="1"/>
  <c r="N28" i="44" s="1"/>
  <c r="N28" i="46" s="1"/>
  <c r="J22" i="47"/>
  <c r="R22" s="1"/>
  <c r="R22" i="45"/>
  <c r="P22"/>
  <c r="R19" i="30"/>
  <c r="J19" i="33"/>
  <c r="P19" i="30"/>
  <c r="R19" i="9"/>
  <c r="Q19"/>
  <c r="K18" i="14"/>
  <c r="J18"/>
  <c r="R18" s="1"/>
  <c r="H27" i="41"/>
  <c r="T27" i="38"/>
  <c r="O33" i="11"/>
  <c r="Q33"/>
  <c r="K23" i="13"/>
  <c r="O23" s="1"/>
  <c r="J23"/>
  <c r="J23" i="45"/>
  <c r="R23" i="42"/>
  <c r="T15" i="35"/>
  <c r="H15" i="36"/>
  <c r="O22" i="47"/>
  <c r="H17" i="34"/>
  <c r="S17" i="33"/>
  <c r="H16" i="35"/>
  <c r="T16" i="32"/>
  <c r="S16" i="34"/>
  <c r="H16" i="37"/>
  <c r="K22" i="36"/>
  <c r="Q22" i="35"/>
  <c r="S22"/>
  <c r="J24" i="41"/>
  <c r="O16" i="35"/>
  <c r="K16" i="36"/>
  <c r="Q16" i="35"/>
  <c r="S16"/>
  <c r="O20" i="6"/>
  <c r="Q20"/>
  <c r="H24" i="35"/>
  <c r="T24" i="32"/>
  <c r="J30" i="13"/>
  <c r="R30" s="1"/>
  <c r="K30"/>
  <c r="K28" i="31"/>
  <c r="Q29" i="29"/>
  <c r="O29"/>
  <c r="S29"/>
  <c r="J31" i="13"/>
  <c r="K31"/>
  <c r="V29" i="35"/>
  <c r="O29" s="1"/>
  <c r="N29" i="36"/>
  <c r="H20" i="35"/>
  <c r="T20" i="32"/>
  <c r="J17" i="42"/>
  <c r="K16" i="39"/>
  <c r="O16" i="37"/>
  <c r="R16"/>
  <c r="P16"/>
  <c r="H21" i="35"/>
  <c r="T21" i="32"/>
  <c r="J18" i="45"/>
  <c r="R18" i="42"/>
  <c r="J16" i="14"/>
  <c r="K16"/>
  <c r="J16" i="13"/>
  <c r="R16" s="1"/>
  <c r="K16"/>
  <c r="H19" i="35"/>
  <c r="T19" i="32"/>
  <c r="H29" i="35"/>
  <c r="T29" i="32"/>
  <c r="J29" i="43"/>
  <c r="O17" i="6"/>
  <c r="Q17"/>
  <c r="J20" i="46"/>
  <c r="K18" i="13"/>
  <c r="J18"/>
  <c r="J16" i="46"/>
  <c r="S18" i="33"/>
  <c r="H18" i="34"/>
  <c r="O20"/>
  <c r="K22" i="37"/>
  <c r="R27" i="9"/>
  <c r="Q27"/>
  <c r="O17" i="34"/>
  <c r="P17"/>
  <c r="K17" i="37"/>
  <c r="R17" i="34"/>
  <c r="R32" i="11"/>
  <c r="H28" i="44"/>
  <c r="T28" i="43"/>
  <c r="J21" i="13"/>
  <c r="K21"/>
  <c r="O21" s="1"/>
  <c r="J18" i="46"/>
  <c r="H22" i="35"/>
  <c r="T22" i="32"/>
  <c r="K29" i="38"/>
  <c r="Q29" i="36"/>
  <c r="S29"/>
  <c r="O26" i="6"/>
  <c r="Q26"/>
  <c r="O18" i="31"/>
  <c r="K18" i="32"/>
  <c r="Q18" i="31"/>
  <c r="S18"/>
  <c r="O21" i="35"/>
  <c r="K21" i="36"/>
  <c r="Q21" i="35"/>
  <c r="S21"/>
  <c r="O15" i="11"/>
  <c r="Q15"/>
  <c r="K20" i="13"/>
  <c r="J20"/>
  <c r="R20" s="1"/>
  <c r="T28" i="31"/>
  <c r="H26" i="32"/>
  <c r="R15" i="11"/>
  <c r="R36" s="1"/>
  <c r="U37" s="1"/>
  <c r="R18" i="9"/>
  <c r="Q18"/>
  <c r="V22" i="35"/>
  <c r="O22" s="1"/>
  <c r="N22" i="36"/>
  <c r="T23"/>
  <c r="H23" i="38"/>
  <c r="J26" i="46"/>
  <c r="J21"/>
  <c r="O15" i="6"/>
  <c r="Q15"/>
  <c r="O32" i="11"/>
  <c r="Q32"/>
  <c r="K18" i="45"/>
  <c r="P18" i="42"/>
  <c r="O18"/>
  <c r="K27" i="36"/>
  <c r="Q27" i="35"/>
  <c r="S27"/>
  <c r="R28" i="11"/>
  <c r="J27" i="46"/>
  <c r="K23" i="45"/>
  <c r="P23" i="42"/>
  <c r="O23"/>
  <c r="J28" i="46"/>
  <c r="O15" i="29"/>
  <c r="K15" i="31"/>
  <c r="S15" i="29"/>
  <c r="Q15"/>
  <c r="J19" i="44"/>
  <c r="R20" i="9"/>
  <c r="Q20"/>
  <c r="N27" i="36"/>
  <c r="V27" i="35"/>
  <c r="O27" s="1"/>
  <c r="O19" i="31"/>
  <c r="K19" i="32"/>
  <c r="Q19" i="31"/>
  <c r="S19"/>
  <c r="H18" i="35"/>
  <c r="T18" i="32"/>
  <c r="K28"/>
  <c r="O30" i="31"/>
  <c r="Q30"/>
  <c r="S30"/>
  <c r="J23" i="38"/>
  <c r="R16" i="16"/>
  <c r="O16" i="18"/>
  <c r="O18" i="13" l="1"/>
  <c r="Q18"/>
  <c r="T22" i="35"/>
  <c r="H22" i="36"/>
  <c r="H17" i="32"/>
  <c r="T17" i="31"/>
  <c r="K24" i="39"/>
  <c r="O22" i="37"/>
  <c r="J19" i="46"/>
  <c r="Q23" i="13"/>
  <c r="R23"/>
  <c r="K28" i="35"/>
  <c r="O28" i="32"/>
  <c r="S28"/>
  <c r="Q28"/>
  <c r="H26" i="35"/>
  <c r="T26" i="32"/>
  <c r="Q31" i="13"/>
  <c r="O31"/>
  <c r="S18" i="34"/>
  <c r="H18" i="37"/>
  <c r="Q16" i="36"/>
  <c r="O16"/>
  <c r="K16" i="38"/>
  <c r="S16" i="36"/>
  <c r="Q20" i="13"/>
  <c r="O20"/>
  <c r="T28" i="44"/>
  <c r="H28" i="46"/>
  <c r="T29" i="35"/>
  <c r="H29" i="36"/>
  <c r="S17" i="34"/>
  <c r="H17" i="37"/>
  <c r="H27" i="43"/>
  <c r="T27" i="41"/>
  <c r="J24" i="13"/>
  <c r="K24"/>
  <c r="J20" i="30"/>
  <c r="J20" i="33" s="1"/>
  <c r="R20" i="28"/>
  <c r="P20"/>
  <c r="K23" i="47"/>
  <c r="O23" i="45"/>
  <c r="P23"/>
  <c r="K28" i="13"/>
  <c r="J28"/>
  <c r="R28" s="1"/>
  <c r="V29" i="36"/>
  <c r="O29" s="1"/>
  <c r="N29" i="38"/>
  <c r="O29" s="1"/>
  <c r="N29" i="41"/>
  <c r="N29" i="43" s="1"/>
  <c r="N29" i="44" s="1"/>
  <c r="N29" i="46" s="1"/>
  <c r="S16" i="37"/>
  <c r="H16" i="39"/>
  <c r="J29" i="44"/>
  <c r="T18" i="35"/>
  <c r="H18" i="36"/>
  <c r="S19" i="40"/>
  <c r="H19" i="42"/>
  <c r="K15" i="32"/>
  <c r="S15" i="31"/>
  <c r="Q15"/>
  <c r="O15"/>
  <c r="P22" i="47"/>
  <c r="J21" i="42"/>
  <c r="R21" i="40"/>
  <c r="O17" i="31"/>
  <c r="K17" i="32"/>
  <c r="S17" i="31"/>
  <c r="Q17"/>
  <c r="O20"/>
  <c r="K20" i="32"/>
  <c r="S20" i="31"/>
  <c r="Q20"/>
  <c r="Q21" i="13"/>
  <c r="R21"/>
  <c r="K27" i="38"/>
  <c r="Q27" i="36"/>
  <c r="S27"/>
  <c r="H23" i="41"/>
  <c r="T23" i="38"/>
  <c r="J15" i="13"/>
  <c r="K15"/>
  <c r="T19" i="35"/>
  <c r="H19" i="36"/>
  <c r="O16" i="39"/>
  <c r="P16"/>
  <c r="K16" i="40"/>
  <c r="R16" i="39"/>
  <c r="K26" i="32"/>
  <c r="Q28" i="31"/>
  <c r="O28"/>
  <c r="S28"/>
  <c r="J24" i="43"/>
  <c r="O18" i="14"/>
  <c r="P18"/>
  <c r="O26" i="13"/>
  <c r="Q26"/>
  <c r="O19"/>
  <c r="Q19"/>
  <c r="H15" i="38"/>
  <c r="H15" i="41" s="1"/>
  <c r="T15" i="36"/>
  <c r="N25" i="43"/>
  <c r="O25" i="41"/>
  <c r="J17" i="14"/>
  <c r="K17"/>
  <c r="J17" i="45"/>
  <c r="O18"/>
  <c r="K18" i="47"/>
  <c r="P18" i="45"/>
  <c r="O30" i="13"/>
  <c r="Q30"/>
  <c r="R16" i="14"/>
  <c r="T20" i="35"/>
  <c r="H20" i="36"/>
  <c r="T24" i="35"/>
  <c r="H24" i="36"/>
  <c r="K22" i="38"/>
  <c r="Q22" i="36"/>
  <c r="S22"/>
  <c r="J23" i="47"/>
  <c r="R23" s="1"/>
  <c r="R23" i="45"/>
  <c r="J19" i="34"/>
  <c r="R19" i="33"/>
  <c r="P19"/>
  <c r="O19" i="47"/>
  <c r="K21" i="45"/>
  <c r="O21" i="42"/>
  <c r="J25" i="13"/>
  <c r="K25"/>
  <c r="K19" i="35"/>
  <c r="O19" i="32"/>
  <c r="Q19"/>
  <c r="S19"/>
  <c r="R18" i="13"/>
  <c r="J23" i="41"/>
  <c r="R19" i="14"/>
  <c r="U19"/>
  <c r="O16" i="13"/>
  <c r="Q16"/>
  <c r="N22" i="41"/>
  <c r="N22" i="43" s="1"/>
  <c r="N22" i="44" s="1"/>
  <c r="N22" i="46" s="1"/>
  <c r="V22" i="36"/>
  <c r="O22" s="1"/>
  <c r="N22" i="38"/>
  <c r="K29" i="41"/>
  <c r="Q29" i="38"/>
  <c r="S29"/>
  <c r="K21"/>
  <c r="O21" i="36"/>
  <c r="Q21"/>
  <c r="S21"/>
  <c r="O19" i="14"/>
  <c r="P19"/>
  <c r="K25" i="46"/>
  <c r="Q25" i="44"/>
  <c r="K17" i="39"/>
  <c r="O17" i="37"/>
  <c r="P17"/>
  <c r="R17"/>
  <c r="J18" i="47"/>
  <c r="R18" s="1"/>
  <c r="R18" i="45"/>
  <c r="K18" i="35"/>
  <c r="Q18" i="32"/>
  <c r="O18"/>
  <c r="S18"/>
  <c r="K24"/>
  <c r="O26" i="31"/>
  <c r="Q26"/>
  <c r="S26"/>
  <c r="H25" i="32"/>
  <c r="T27" i="31"/>
  <c r="O16" i="14"/>
  <c r="P16"/>
  <c r="N27" i="38"/>
  <c r="N27" i="41"/>
  <c r="N27" i="43" s="1"/>
  <c r="N27" i="44" s="1"/>
  <c r="N27" i="46" s="1"/>
  <c r="V27" i="36"/>
  <c r="O27" s="1"/>
  <c r="R30" i="9"/>
  <c r="U31" s="1"/>
  <c r="H21" i="36"/>
  <c r="T21" i="35"/>
  <c r="R31" i="13"/>
  <c r="T16" i="35"/>
  <c r="H16" i="36"/>
  <c r="K29" i="13"/>
  <c r="J29"/>
  <c r="H20" i="33"/>
  <c r="S20" i="30"/>
  <c r="K27" i="13"/>
  <c r="J27"/>
  <c r="R27" s="1"/>
  <c r="K23" i="35"/>
  <c r="O23" i="32"/>
  <c r="Q23"/>
  <c r="S23"/>
  <c r="R16" i="18"/>
  <c r="P16"/>
  <c r="T28" i="46" l="1"/>
  <c r="H28" i="48"/>
  <c r="N25" i="44"/>
  <c r="O25" i="43"/>
  <c r="H27" i="44"/>
  <c r="T27" i="43"/>
  <c r="H23"/>
  <c r="T23" i="41"/>
  <c r="H17" i="39"/>
  <c r="S17" i="37"/>
  <c r="O27" i="13"/>
  <c r="Q27"/>
  <c r="H15" i="43"/>
  <c r="T15" i="41"/>
  <c r="H18" i="38"/>
  <c r="T18" i="36"/>
  <c r="H20" i="34"/>
  <c r="S20" i="33"/>
  <c r="R25" i="13"/>
  <c r="K16" i="42"/>
  <c r="O16" i="40"/>
  <c r="P16"/>
  <c r="R16"/>
  <c r="O27" i="38"/>
  <c r="Q27"/>
  <c r="K27" i="41"/>
  <c r="S27" i="38"/>
  <c r="P23" i="47"/>
  <c r="O23"/>
  <c r="H25" i="35"/>
  <c r="T25" i="32"/>
  <c r="H24" i="38"/>
  <c r="T24" i="36"/>
  <c r="J21" i="45"/>
  <c r="R21" i="42"/>
  <c r="O21" i="38"/>
  <c r="K21" i="41"/>
  <c r="Q21" i="38"/>
  <c r="S21"/>
  <c r="P17" i="39"/>
  <c r="O17"/>
  <c r="K17" i="40"/>
  <c r="R17" i="39"/>
  <c r="J24" i="44"/>
  <c r="O29" i="41"/>
  <c r="Q29"/>
  <c r="K29" i="43"/>
  <c r="S29" i="41"/>
  <c r="R15" i="13"/>
  <c r="J21" i="37"/>
  <c r="R19" i="34"/>
  <c r="P19"/>
  <c r="S19" i="42"/>
  <c r="H19" i="45"/>
  <c r="O28" i="13"/>
  <c r="Q28"/>
  <c r="Q25" i="46"/>
  <c r="O19" i="35"/>
  <c r="K19" i="36"/>
  <c r="Q19" i="35"/>
  <c r="S19"/>
  <c r="K26"/>
  <c r="Q26" i="32"/>
  <c r="O26"/>
  <c r="S26"/>
  <c r="K18" i="36"/>
  <c r="O18" i="35"/>
  <c r="Q18"/>
  <c r="S18"/>
  <c r="O25" i="13"/>
  <c r="Q25"/>
  <c r="K17" i="35"/>
  <c r="O17" i="32"/>
  <c r="Q17"/>
  <c r="S17"/>
  <c r="T29" i="36"/>
  <c r="H29" i="38"/>
  <c r="R29" i="13"/>
  <c r="P21" i="42"/>
  <c r="O18" i="47"/>
  <c r="P18"/>
  <c r="S25" i="46"/>
  <c r="K20" i="40"/>
  <c r="O24" i="39"/>
  <c r="T26" i="35"/>
  <c r="H26" i="36"/>
  <c r="H17" i="35"/>
  <c r="T17" i="32"/>
  <c r="T22" i="36"/>
  <c r="H22" i="38"/>
  <c r="O29" i="13"/>
  <c r="Q29"/>
  <c r="J29" i="46"/>
  <c r="K21" i="47"/>
  <c r="O21" i="45"/>
  <c r="P21"/>
  <c r="R20" i="33"/>
  <c r="J20" i="34"/>
  <c r="P20" i="33"/>
  <c r="O24" i="13"/>
  <c r="Q24"/>
  <c r="J23" i="43"/>
  <c r="H20" i="38"/>
  <c r="T20" i="36"/>
  <c r="O17" i="14"/>
  <c r="P17"/>
  <c r="O15" i="13"/>
  <c r="Q15"/>
  <c r="O16" i="38"/>
  <c r="Q16"/>
  <c r="K16" i="41"/>
  <c r="S16" i="38"/>
  <c r="H21"/>
  <c r="T21" i="36"/>
  <c r="O22" i="38"/>
  <c r="K22" i="41"/>
  <c r="Q22" i="38"/>
  <c r="S22"/>
  <c r="H16"/>
  <c r="H16" i="41" s="1"/>
  <c r="T16" i="36"/>
  <c r="V19" i="14"/>
  <c r="H19" i="38"/>
  <c r="T19" i="36"/>
  <c r="S16" i="39"/>
  <c r="H16" i="40"/>
  <c r="J17" i="47"/>
  <c r="R24" i="13"/>
  <c r="K24" i="35"/>
  <c r="O24" i="32"/>
  <c r="Q24"/>
  <c r="S24"/>
  <c r="K20" i="35"/>
  <c r="Q20" i="32"/>
  <c r="O20"/>
  <c r="S20"/>
  <c r="K23" i="36"/>
  <c r="O23" i="35"/>
  <c r="Q23"/>
  <c r="S23"/>
  <c r="S15" i="32"/>
  <c r="K15" i="35"/>
  <c r="Q15" i="32"/>
  <c r="O15"/>
  <c r="K28" i="36"/>
  <c r="O28" i="35"/>
  <c r="Q28"/>
  <c r="S28"/>
  <c r="H18" i="39"/>
  <c r="S18" i="37"/>
  <c r="S16" i="18"/>
  <c r="P16" i="30"/>
  <c r="R16"/>
  <c r="R16" i="33"/>
  <c r="O17" i="35" l="1"/>
  <c r="K17" i="36"/>
  <c r="Q17" i="35"/>
  <c r="S17"/>
  <c r="H18" i="41"/>
  <c r="T18" i="38"/>
  <c r="K19"/>
  <c r="Q19" i="36"/>
  <c r="O19"/>
  <c r="S19"/>
  <c r="O21" i="41"/>
  <c r="K21" i="43"/>
  <c r="Q21" i="41"/>
  <c r="S21"/>
  <c r="Q27"/>
  <c r="O27"/>
  <c r="K27" i="43"/>
  <c r="S27" i="41"/>
  <c r="H20"/>
  <c r="T20" i="38"/>
  <c r="K29" i="44"/>
  <c r="O29" i="43"/>
  <c r="Q29"/>
  <c r="S29"/>
  <c r="H15" i="44"/>
  <c r="T15" i="43"/>
  <c r="K15" i="36"/>
  <c r="O15" i="35"/>
  <c r="S15"/>
  <c r="K24" i="36"/>
  <c r="O24" i="35"/>
  <c r="Q24"/>
  <c r="S24"/>
  <c r="O21" i="47"/>
  <c r="P21"/>
  <c r="R32" i="13"/>
  <c r="U33" s="1"/>
  <c r="N25" i="46"/>
  <c r="O25" s="1"/>
  <c r="O25" i="44"/>
  <c r="O22" i="41"/>
  <c r="K22" i="43"/>
  <c r="Q22" i="41"/>
  <c r="S22"/>
  <c r="K20" i="42"/>
  <c r="O20" i="40"/>
  <c r="S19" i="45"/>
  <c r="H19" i="47"/>
  <c r="S19" s="1"/>
  <c r="K17" i="42"/>
  <c r="O17" i="40"/>
  <c r="P17"/>
  <c r="R17"/>
  <c r="H16" i="43"/>
  <c r="T16" i="41"/>
  <c r="J21" i="39"/>
  <c r="R21" i="37"/>
  <c r="P21"/>
  <c r="H18" i="40"/>
  <c r="S18" i="39"/>
  <c r="O23" i="36"/>
  <c r="K23" i="38"/>
  <c r="Q23" i="36"/>
  <c r="S23"/>
  <c r="H16" i="42"/>
  <c r="S16" i="40"/>
  <c r="T21" i="38"/>
  <c r="H21" i="41"/>
  <c r="J23" i="44"/>
  <c r="J21" i="47"/>
  <c r="R21" s="1"/>
  <c r="R21" i="45"/>
  <c r="H22" i="41"/>
  <c r="T22" i="38"/>
  <c r="O18" i="36"/>
  <c r="Q18"/>
  <c r="K18" i="38"/>
  <c r="S18" i="36"/>
  <c r="J24" i="46"/>
  <c r="H24" i="41"/>
  <c r="T24" i="38"/>
  <c r="S17" i="39"/>
  <c r="H17" i="40"/>
  <c r="K16" i="45"/>
  <c r="P16" i="42"/>
  <c r="O16"/>
  <c r="R16"/>
  <c r="K16" i="43"/>
  <c r="Q16" i="41"/>
  <c r="O16"/>
  <c r="S16"/>
  <c r="J22" i="37"/>
  <c r="R20" i="34"/>
  <c r="P20"/>
  <c r="H23" i="44"/>
  <c r="T23" i="43"/>
  <c r="O20" i="35"/>
  <c r="K20" i="36"/>
  <c r="Q20" i="35"/>
  <c r="S20"/>
  <c r="T17"/>
  <c r="H17" i="36"/>
  <c r="H19" i="41"/>
  <c r="T19" i="38"/>
  <c r="H29" i="41"/>
  <c r="T29" i="38"/>
  <c r="K28"/>
  <c r="Q28" i="36"/>
  <c r="S28"/>
  <c r="O28"/>
  <c r="K26"/>
  <c r="Q26" i="35"/>
  <c r="O26"/>
  <c r="S26"/>
  <c r="T27" i="44"/>
  <c r="H27" i="46"/>
  <c r="T25" i="35"/>
  <c r="H25" i="36"/>
  <c r="H26" i="38"/>
  <c r="T26" i="36"/>
  <c r="H24" i="39"/>
  <c r="H22" i="37"/>
  <c r="S22" s="1"/>
  <c r="S20" i="34"/>
  <c r="P16" i="33"/>
  <c r="R20" i="30"/>
  <c r="P20"/>
  <c r="Q15" i="35"/>
  <c r="T27" i="46" l="1"/>
  <c r="H27" i="48"/>
  <c r="O20" i="42"/>
  <c r="K20" i="45"/>
  <c r="S30" i="35"/>
  <c r="S22" i="43"/>
  <c r="K22" i="44"/>
  <c r="Q22" i="43"/>
  <c r="O22"/>
  <c r="K20" i="38"/>
  <c r="O20" i="36"/>
  <c r="Q20"/>
  <c r="S20"/>
  <c r="O17" i="42"/>
  <c r="K17" i="45"/>
  <c r="P17" i="42"/>
  <c r="R17"/>
  <c r="O28" i="38"/>
  <c r="K28" i="41"/>
  <c r="Q28" i="38"/>
  <c r="S28"/>
  <c r="H25"/>
  <c r="T25" i="36"/>
  <c r="H18" i="42"/>
  <c r="S18" i="40"/>
  <c r="H21" i="43"/>
  <c r="T21" i="41"/>
  <c r="O19" i="38"/>
  <c r="K19" i="41"/>
  <c r="Q19" i="38"/>
  <c r="S19"/>
  <c r="T17" i="36"/>
  <c r="H17" i="38"/>
  <c r="O24" i="36"/>
  <c r="K24" i="38"/>
  <c r="Q24" i="36"/>
  <c r="S24"/>
  <c r="H16" i="44"/>
  <c r="T16" i="43"/>
  <c r="K27" i="44"/>
  <c r="Q27" i="43"/>
  <c r="O27"/>
  <c r="S27"/>
  <c r="H16" i="45"/>
  <c r="S16" i="42"/>
  <c r="H18" i="43"/>
  <c r="T18" i="41"/>
  <c r="S24" i="39"/>
  <c r="H20" i="40"/>
  <c r="H15" i="46"/>
  <c r="T15" i="44"/>
  <c r="K16" i="47"/>
  <c r="O16" i="45"/>
  <c r="P16"/>
  <c r="R16"/>
  <c r="K21" i="44"/>
  <c r="Q21" i="43"/>
  <c r="O21"/>
  <c r="S21"/>
  <c r="H23" i="46"/>
  <c r="T23" i="44"/>
  <c r="K29" i="46"/>
  <c r="O29" i="44"/>
  <c r="Q29"/>
  <c r="S29"/>
  <c r="H19" i="43"/>
  <c r="T19" i="41"/>
  <c r="J19" i="40"/>
  <c r="R21" i="39"/>
  <c r="P21"/>
  <c r="H20" i="43"/>
  <c r="T20" i="41"/>
  <c r="O18" i="38"/>
  <c r="Q18"/>
  <c r="K18" i="41"/>
  <c r="S18" i="38"/>
  <c r="O23"/>
  <c r="Q23"/>
  <c r="K23" i="41"/>
  <c r="S23" i="38"/>
  <c r="O17" i="36"/>
  <c r="K17" i="38"/>
  <c r="Q17" i="36"/>
  <c r="S17"/>
  <c r="H22" i="43"/>
  <c r="T22" i="41"/>
  <c r="T26" i="38"/>
  <c r="H26" i="41"/>
  <c r="S17" i="40"/>
  <c r="H17" i="42"/>
  <c r="H29" i="43"/>
  <c r="T29" i="41"/>
  <c r="J24" i="39"/>
  <c r="R22" i="37"/>
  <c r="P22"/>
  <c r="H24" i="43"/>
  <c r="T24" i="41"/>
  <c r="J23" i="46"/>
  <c r="K16" i="44"/>
  <c r="Q16" i="43"/>
  <c r="O16"/>
  <c r="S16"/>
  <c r="Q26" i="36"/>
  <c r="K26" i="38"/>
  <c r="O26" i="36"/>
  <c r="S26"/>
  <c r="O15"/>
  <c r="K15" i="38"/>
  <c r="Q15" i="36"/>
  <c r="S15"/>
  <c r="S30" s="1"/>
  <c r="T16" i="38"/>
  <c r="T15"/>
  <c r="T15" i="46" l="1"/>
  <c r="H15" i="48"/>
  <c r="T15" s="1"/>
  <c r="T23" i="46"/>
  <c r="H23" i="48"/>
  <c r="S17" i="42"/>
  <c r="H17" i="45"/>
  <c r="K16" i="46"/>
  <c r="O16" i="44"/>
  <c r="Q16"/>
  <c r="S16"/>
  <c r="O18" i="41"/>
  <c r="Q18"/>
  <c r="K18" i="43"/>
  <c r="S18" i="41"/>
  <c r="K20" i="47"/>
  <c r="O20" i="45"/>
  <c r="T16" i="44"/>
  <c r="H16" i="46"/>
  <c r="H22" i="44"/>
  <c r="T22" i="43"/>
  <c r="S20" i="40"/>
  <c r="H20" i="42"/>
  <c r="S18"/>
  <c r="H18" i="45"/>
  <c r="K21" i="46"/>
  <c r="O21" i="44"/>
  <c r="Q21"/>
  <c r="S21"/>
  <c r="O19" i="41"/>
  <c r="Q19"/>
  <c r="K19" i="43"/>
  <c r="S19" i="41"/>
  <c r="H26" i="43"/>
  <c r="T26" i="41"/>
  <c r="P16" i="47"/>
  <c r="O16"/>
  <c r="R16"/>
  <c r="O24" i="38"/>
  <c r="Q24"/>
  <c r="K24" i="41"/>
  <c r="S24" i="38"/>
  <c r="T17"/>
  <c r="H17" i="41"/>
  <c r="S16" i="45"/>
  <c r="H16" i="47"/>
  <c r="S16" s="1"/>
  <c r="H29" i="44"/>
  <c r="T29" i="43"/>
  <c r="K28"/>
  <c r="O28" i="41"/>
  <c r="Q28"/>
  <c r="S28"/>
  <c r="K27" i="46"/>
  <c r="O27" i="44"/>
  <c r="Q27"/>
  <c r="S27"/>
  <c r="K17" i="47"/>
  <c r="P17" i="45"/>
  <c r="O17"/>
  <c r="R17"/>
  <c r="K15" i="41"/>
  <c r="Q15" i="38"/>
  <c r="O15"/>
  <c r="S15"/>
  <c r="Q29" i="46"/>
  <c r="O29"/>
  <c r="S29"/>
  <c r="H21" i="44"/>
  <c r="T21" i="43"/>
  <c r="H24" i="44"/>
  <c r="T24" i="43"/>
  <c r="H20" i="44"/>
  <c r="T20" i="43"/>
  <c r="O26" i="38"/>
  <c r="K26" i="41"/>
  <c r="Q26" i="38"/>
  <c r="S26"/>
  <c r="O17"/>
  <c r="K17" i="41"/>
  <c r="Q17" i="38"/>
  <c r="S17"/>
  <c r="H18" i="44"/>
  <c r="T18" i="43"/>
  <c r="H25" i="41"/>
  <c r="T25" i="38"/>
  <c r="O20"/>
  <c r="Q20"/>
  <c r="K20" i="41"/>
  <c r="S20" i="38"/>
  <c r="J20" i="40"/>
  <c r="R24" i="39"/>
  <c r="P24"/>
  <c r="J19" i="42"/>
  <c r="R19" i="40"/>
  <c r="P19"/>
  <c r="K23" i="43"/>
  <c r="O23" i="41"/>
  <c r="Q23"/>
  <c r="S23"/>
  <c r="K22" i="46"/>
  <c r="O22" i="44"/>
  <c r="Q22"/>
  <c r="S22"/>
  <c r="H19"/>
  <c r="T19" i="43"/>
  <c r="T16" i="46" l="1"/>
  <c r="H16" i="48"/>
  <c r="T18" i="44"/>
  <c r="H18" i="46"/>
  <c r="J19" i="45"/>
  <c r="R19" i="42"/>
  <c r="P19"/>
  <c r="H26" i="44"/>
  <c r="T26" i="43"/>
  <c r="T19" i="44"/>
  <c r="H19" i="46"/>
  <c r="K19" i="44"/>
  <c r="O19" i="43"/>
  <c r="Q19"/>
  <c r="S19"/>
  <c r="Q27" i="46"/>
  <c r="O27"/>
  <c r="S27"/>
  <c r="O22"/>
  <c r="Q22"/>
  <c r="S22"/>
  <c r="O26" i="41"/>
  <c r="K26" i="43"/>
  <c r="Q26" i="41"/>
  <c r="S26"/>
  <c r="O20" i="47"/>
  <c r="T29" i="44"/>
  <c r="H29" i="46"/>
  <c r="S20" i="42"/>
  <c r="H20" i="45"/>
  <c r="O17" i="47"/>
  <c r="P17"/>
  <c r="R17"/>
  <c r="T22" i="44"/>
  <c r="H22" i="46"/>
  <c r="Q24" i="41"/>
  <c r="O24"/>
  <c r="K24" i="43"/>
  <c r="S24" i="41"/>
  <c r="S17" i="45"/>
  <c r="H17" i="47"/>
  <c r="S17" s="1"/>
  <c r="O20" i="41"/>
  <c r="K20" i="43"/>
  <c r="Q20" i="41"/>
  <c r="S20"/>
  <c r="O15"/>
  <c r="Q15"/>
  <c r="K15" i="43"/>
  <c r="S15" i="41"/>
  <c r="O28" i="43"/>
  <c r="K28" i="44"/>
  <c r="Q28" i="43"/>
  <c r="S28"/>
  <c r="O21" i="46"/>
  <c r="Q21"/>
  <c r="S21"/>
  <c r="H21"/>
  <c r="T21" i="44"/>
  <c r="Q17" i="41"/>
  <c r="K17" i="43"/>
  <c r="O17" i="41"/>
  <c r="S17"/>
  <c r="J20" i="42"/>
  <c r="R20" i="40"/>
  <c r="P20"/>
  <c r="O16" i="46"/>
  <c r="Q16"/>
  <c r="S16"/>
  <c r="S30" i="38"/>
  <c r="K23" i="44"/>
  <c r="Q23" i="43"/>
  <c r="O23"/>
  <c r="S23"/>
  <c r="H25"/>
  <c r="T25" i="41"/>
  <c r="T20" i="44"/>
  <c r="H20" i="46"/>
  <c r="S18" i="45"/>
  <c r="H18" i="47"/>
  <c r="S18" s="1"/>
  <c r="K18" i="44"/>
  <c r="Q18" i="43"/>
  <c r="O18"/>
  <c r="S18"/>
  <c r="T24" i="44"/>
  <c r="H24" i="46"/>
  <c r="H17" i="43"/>
  <c r="T17" i="41"/>
  <c r="T20" i="46" l="1"/>
  <c r="H20" i="48"/>
  <c r="T29" i="46"/>
  <c r="H29" i="48"/>
  <c r="T18" i="46"/>
  <c r="H18" i="48"/>
  <c r="T24" i="46"/>
  <c r="H24" i="48"/>
  <c r="T22" i="46"/>
  <c r="H22" i="48"/>
  <c r="T19" i="46"/>
  <c r="H19" i="48"/>
  <c r="T21" i="46"/>
  <c r="H21" i="48"/>
  <c r="J20" i="45"/>
  <c r="R20" i="42"/>
  <c r="P20"/>
  <c r="H25" i="44"/>
  <c r="T25" i="43"/>
  <c r="S30" i="41"/>
  <c r="K17" i="44"/>
  <c r="Q17" i="43"/>
  <c r="O17"/>
  <c r="S17"/>
  <c r="S15"/>
  <c r="K15" i="44"/>
  <c r="Q15" i="43"/>
  <c r="O15"/>
  <c r="K18" i="46"/>
  <c r="Q18" i="44"/>
  <c r="O18"/>
  <c r="S18"/>
  <c r="Q20" i="43"/>
  <c r="K20" i="44"/>
  <c r="O20" i="43"/>
  <c r="S20"/>
  <c r="S20" i="45"/>
  <c r="H20" i="47"/>
  <c r="S20" s="1"/>
  <c r="J19"/>
  <c r="R19" i="45"/>
  <c r="P19"/>
  <c r="K19" i="46"/>
  <c r="O19" i="44"/>
  <c r="Q19"/>
  <c r="S19"/>
  <c r="T26"/>
  <c r="H26" i="46"/>
  <c r="K28"/>
  <c r="O28" i="44"/>
  <c r="Q28"/>
  <c r="S28"/>
  <c r="H17"/>
  <c r="T17" i="43"/>
  <c r="K24" i="44"/>
  <c r="Q24" i="43"/>
  <c r="O24"/>
  <c r="S24"/>
  <c r="K23" i="46"/>
  <c r="O23" i="44"/>
  <c r="Q23"/>
  <c r="S23"/>
  <c r="K26"/>
  <c r="O26" i="43"/>
  <c r="Q26"/>
  <c r="S26"/>
  <c r="T26" i="46" l="1"/>
  <c r="H26" i="48"/>
  <c r="T25" i="44"/>
  <c r="H25" i="46"/>
  <c r="T17" i="44"/>
  <c r="H17" i="46"/>
  <c r="S30" i="43"/>
  <c r="K17" i="46"/>
  <c r="O17" i="44"/>
  <c r="Q17"/>
  <c r="S17"/>
  <c r="K24" i="46"/>
  <c r="O24" i="44"/>
  <c r="Q24"/>
  <c r="S24"/>
  <c r="O30" i="43"/>
  <c r="K20" i="46"/>
  <c r="O20" i="44"/>
  <c r="Q20"/>
  <c r="S20"/>
  <c r="O19" i="46"/>
  <c r="Q19"/>
  <c r="S19"/>
  <c r="O18"/>
  <c r="Q18"/>
  <c r="S18"/>
  <c r="R19" i="47"/>
  <c r="P19"/>
  <c r="J20"/>
  <c r="R20" i="45"/>
  <c r="P20"/>
  <c r="K26" i="46"/>
  <c r="O26" i="44"/>
  <c r="Q26"/>
  <c r="S26"/>
  <c r="K15" i="46"/>
  <c r="O15" i="44"/>
  <c r="Q15"/>
  <c r="S15"/>
  <c r="O28" i="46"/>
  <c r="Q28"/>
  <c r="S28"/>
  <c r="Q23"/>
  <c r="O23"/>
  <c r="S23"/>
  <c r="T25" l="1"/>
  <c r="H25" i="48"/>
  <c r="Q15"/>
  <c r="S15"/>
  <c r="T17" i="46"/>
  <c r="H17" i="48"/>
  <c r="Q17" i="46"/>
  <c r="O17"/>
  <c r="S17"/>
  <c r="S30" i="44"/>
  <c r="O30"/>
  <c r="O26" i="46"/>
  <c r="Q26"/>
  <c r="S26"/>
  <c r="R20" i="47"/>
  <c r="P20"/>
  <c r="Q24" i="46"/>
  <c r="O24"/>
  <c r="S24"/>
  <c r="O20"/>
  <c r="Q20"/>
  <c r="S20"/>
  <c r="O15"/>
  <c r="O30" s="1"/>
  <c r="Q15"/>
  <c r="S15"/>
  <c r="S30" l="1"/>
  <c r="J20" i="48"/>
  <c r="I20"/>
  <c r="K20" s="1"/>
  <c r="O20" s="1"/>
  <c r="Q20" l="1"/>
  <c r="S20"/>
  <c r="T20"/>
  <c r="J28"/>
  <c r="J27"/>
  <c r="J26"/>
  <c r="J17"/>
  <c r="J21"/>
  <c r="J22"/>
  <c r="I17"/>
  <c r="J25"/>
  <c r="I26"/>
  <c r="T26" s="1"/>
  <c r="K24"/>
  <c r="O24" s="1"/>
  <c r="J24"/>
  <c r="I21"/>
  <c r="K21" s="1"/>
  <c r="O21" s="1"/>
  <c r="T28"/>
  <c r="J19"/>
  <c r="I18"/>
  <c r="K18" s="1"/>
  <c r="O18" s="1"/>
  <c r="J18"/>
  <c r="Z30"/>
  <c r="I27"/>
  <c r="T27" s="1"/>
  <c r="J16"/>
  <c r="I23"/>
  <c r="K23" s="1"/>
  <c r="O23" s="1"/>
  <c r="J23"/>
  <c r="I29"/>
  <c r="K29" s="1"/>
  <c r="O29" s="1"/>
  <c r="I19"/>
  <c r="K19" s="1"/>
  <c r="O19" s="1"/>
  <c r="I22"/>
  <c r="K22" s="1"/>
  <c r="O22" s="1"/>
  <c r="I25"/>
  <c r="K25" s="1"/>
  <c r="O25" s="1"/>
  <c r="I16"/>
  <c r="K16" s="1"/>
  <c r="T16" l="1"/>
  <c r="T21"/>
  <c r="S16"/>
  <c r="O16"/>
  <c r="T17"/>
  <c r="K17"/>
  <c r="O17" s="1"/>
  <c r="T25"/>
  <c r="T19"/>
  <c r="K28"/>
  <c r="S28" s="1"/>
  <c r="S29"/>
  <c r="T18"/>
  <c r="K26"/>
  <c r="S25"/>
  <c r="Q16"/>
  <c r="T24"/>
  <c r="K27"/>
  <c r="O27" s="1"/>
  <c r="S21"/>
  <c r="Q19"/>
  <c r="S23"/>
  <c r="Q23"/>
  <c r="Q24"/>
  <c r="S24"/>
  <c r="Q22"/>
  <c r="Q21"/>
  <c r="S22"/>
  <c r="S18"/>
  <c r="Q18"/>
  <c r="Q29"/>
  <c r="S19"/>
  <c r="Q25"/>
  <c r="T23"/>
  <c r="T29"/>
  <c r="T22"/>
  <c r="Q17" l="1"/>
  <c r="S17"/>
  <c r="S27"/>
  <c r="O26"/>
  <c r="Q26"/>
  <c r="Q28"/>
  <c r="O28"/>
  <c r="O30" s="1"/>
  <c r="Q27"/>
  <c r="S26"/>
  <c r="S30" l="1"/>
</calcChain>
</file>

<file path=xl/sharedStrings.xml><?xml version="1.0" encoding="utf-8"?>
<sst xmlns="http://schemas.openxmlformats.org/spreadsheetml/2006/main" count="4206" uniqueCount="502">
  <si>
    <t xml:space="preserve"> Приложение 3</t>
  </si>
  <si>
    <t xml:space="preserve">                                                                                                                  к Порядку </t>
  </si>
  <si>
    <t>(форма)</t>
  </si>
  <si>
    <t>СВЕДЕНИЯ</t>
  </si>
  <si>
    <t>Сведения предоставляются</t>
  </si>
  <si>
    <t>Товарищество собственников жилья «Комфорт» (ТСЖ «Комфорт»)</t>
  </si>
  <si>
    <t>(полное и сокращенное наименование владельца специального счета, его организационно-правовая форма)</t>
  </si>
  <si>
    <t>юридический адрес местонахождения:</t>
  </si>
  <si>
    <t xml:space="preserve">фактический адрес местонахождения: </t>
  </si>
  <si>
    <t>(указывается в случае отличия юридического и фактического адреса)</t>
  </si>
  <si>
    <t>№ п/п</t>
  </si>
  <si>
    <t>Муниципальное образование</t>
  </si>
  <si>
    <t>Адрес многоквартирного дома</t>
  </si>
  <si>
    <t xml:space="preserve">Год постройки или ввода в эксплуатацию </t>
  </si>
  <si>
    <t>Плановый период проведения ремонта в соответствии с региональной программой</t>
  </si>
  <si>
    <t>Площадь жилых и нежилых помещений в многоквартир ном доме, м2</t>
  </si>
  <si>
    <t>Минимальный размер взноса на капитальный ремонт общего имущества в данном многоквартирном доме, руб./м2</t>
  </si>
  <si>
    <t>Сумма денежных средств, поступивших в отчетном периоде, руб.</t>
  </si>
  <si>
    <t>Сумма денежных средств, находящихся на счете, руб.</t>
  </si>
  <si>
    <t>Проведение капитального ремонта</t>
  </si>
  <si>
    <t>Сумма средств на счете на отчетную дату, руб.</t>
  </si>
  <si>
    <t>Планируемая сумма поступлений за отчетный период, руб.</t>
  </si>
  <si>
    <t>Фактическая сумма поступлений за отчетный период, руб.</t>
  </si>
  <si>
    <t>Планируемая сумма поступлений, руб.</t>
  </si>
  <si>
    <t>Фактическая сумма поступлений, руб.</t>
  </si>
  <si>
    <t>Дата проведения капитального ремонта (число, месяц, год)</t>
  </si>
  <si>
    <t>Перечень проведенных работ по капитальному ремонту</t>
  </si>
  <si>
    <t>Сумма денежных средств, потраченных на проведения капитального ремонта, руб.</t>
  </si>
  <si>
    <t>Иркутск</t>
  </si>
  <si>
    <t>г. Иркутск, ул. Депутатская, д.75</t>
  </si>
  <si>
    <t>г. Иркутск, ул. Депутатская, д.75/1</t>
  </si>
  <si>
    <t>г. Иркутск, ул. Станиславского, д.31</t>
  </si>
  <si>
    <t>3 225,60</t>
  </si>
  <si>
    <t>г. Иркутск, ул. Станиславского, д.33</t>
  </si>
  <si>
    <t>г. Иркутск, ул. Красноказачья, д.120/4</t>
  </si>
  <si>
    <t>г. Иркутск, ул. Иркутской 30-й дивизии, д.6</t>
  </si>
  <si>
    <t>г. Иркутск, ул. Иркутской 30-й дивизии, д.8</t>
  </si>
  <si>
    <t xml:space="preserve">Иркутск </t>
  </si>
  <si>
    <t>г. Иркутск, ул. Станиславского д. 25</t>
  </si>
  <si>
    <t xml:space="preserve"> 1 183,10</t>
  </si>
  <si>
    <t>г. Иркутск, ул. Станиславского д. 27</t>
  </si>
  <si>
    <t>2 119,30</t>
  </si>
  <si>
    <t>г. Иркутск, ул. Станиславского д. 29</t>
  </si>
  <si>
    <t>2 094,90</t>
  </si>
  <si>
    <t>1 947,30</t>
  </si>
  <si>
    <t>1 699,90</t>
  </si>
  <si>
    <t>2 085,90</t>
  </si>
  <si>
    <t xml:space="preserve">Председатель Правления ТСЖ «Комфорт»       ____________________________ Елисеев А.Н. </t>
  </si>
  <si>
    <t>М.П.</t>
  </si>
  <si>
    <t>Капитальный ремонт узла холодного водоснабжения (установка насоса, повышающего давление)</t>
  </si>
  <si>
    <t>Общество с ограниченной ответственностью «Управляющая компания «Мой дом» (ООО «УК «Мой дом»)</t>
  </si>
  <si>
    <t>664025,  Иркутская обл., Иркутск  г., Российская ул., д.14</t>
  </si>
  <si>
    <t>г. Иркутск, ул. Декабрьских Событий, д.109</t>
  </si>
  <si>
    <t>9 307,80</t>
  </si>
  <si>
    <t>Монтаж пластиковых окон в подъездах</t>
  </si>
  <si>
    <t>Ремонт кровли с очисткой от мусора</t>
  </si>
  <si>
    <t xml:space="preserve">Покраска фасада 2 подъезда </t>
  </si>
  <si>
    <t>г. Иркутск, ул. Поленова, д.6</t>
  </si>
  <si>
    <t>3 083,80</t>
  </si>
  <si>
    <t xml:space="preserve">Генеральный директор        ____________________________ Елисеев А.Н. </t>
  </si>
  <si>
    <t xml:space="preserve"> « 10 »  января  2018г.</t>
  </si>
  <si>
    <r>
      <t xml:space="preserve">ОГРН </t>
    </r>
    <r>
      <rPr>
        <u/>
        <sz val="12"/>
        <color rgb="FF00000A"/>
        <rFont val="Times New Roman"/>
        <family val="1"/>
        <charset val="204"/>
      </rPr>
      <t>1143850036758</t>
    </r>
  </si>
  <si>
    <r>
      <t xml:space="preserve">ИНН  </t>
    </r>
    <r>
      <rPr>
        <u/>
        <sz val="12"/>
        <color rgb="FF00000A"/>
        <rFont val="Times New Roman"/>
        <family val="1"/>
        <charset val="204"/>
      </rPr>
      <t>3808238200</t>
    </r>
  </si>
  <si>
    <t>1. Справки ПАО «Сбербанк» об остатках денежных средств на расчетном счете 407058109183500000255 – 1 лист</t>
  </si>
  <si>
    <t xml:space="preserve">Приложение:  </t>
  </si>
  <si>
    <t>2. Выписка по лицевому счету 40705810766150000012 на 29.12.2017 года - 1 лист</t>
  </si>
  <si>
    <t>о размере взносов на капитальный ремонт и размере остатка средств на специальном счете общего имущества в многоквартирном доме, поступивших от собственников помещений в многоквартирном доме на специальный счет</t>
  </si>
  <si>
    <t xml:space="preserve">по состоянию за 4 квартал 2017 года на 01 января 2018 года </t>
  </si>
  <si>
    <t>664081,  Иркутская обл., Иркутск  г., Станиславского ул., д.29</t>
  </si>
  <si>
    <r>
      <t xml:space="preserve">ОГРН </t>
    </r>
    <r>
      <rPr>
        <u/>
        <sz val="12"/>
        <color rgb="FF00000A"/>
        <rFont val="Times New Roman"/>
        <family val="1"/>
        <charset val="204"/>
      </rPr>
      <t>1033801537582</t>
    </r>
  </si>
  <si>
    <t>ИНН  3811055976</t>
  </si>
  <si>
    <t>г. Иркутск, ул. Депутатская, д.79</t>
  </si>
  <si>
    <t>г. Иркутск, ул. Депутатская, д.77</t>
  </si>
  <si>
    <t>г. Иркутск, ул. Депутатская, д.81</t>
  </si>
  <si>
    <t>г. Иркутск, ул. Красноказачья, д.120/3</t>
  </si>
  <si>
    <t>г. Иркутск, ул. Красноказачья, д.120/1</t>
  </si>
  <si>
    <t xml:space="preserve">Приложение: </t>
  </si>
  <si>
    <t>1. Справка банка, подтверждающая сумму остатка на 2 (двух)    л.</t>
  </si>
  <si>
    <t>2. Документы, подтверждающие,  проведение работ по капитальному ремоту МКД по адресу г. Иркутск, ул. Станславского , 31 на 15 (пятнадцати) л.</t>
  </si>
  <si>
    <t>3. Документы, подтверждающие,  проведение работ по капитальному ремоту МКД по адресу г. Иркутск, ул. Станславского , 33 на 10 (десяти) л.</t>
  </si>
  <si>
    <t xml:space="preserve"> « 10 » января  2018г.</t>
  </si>
  <si>
    <t xml:space="preserve">по состоянию за 1 квартал 2018 года на 01 АПРЕЛЯ 2018 года </t>
  </si>
  <si>
    <t xml:space="preserve"> « 03 » апреля  2018 г.</t>
  </si>
  <si>
    <t>2. Выписка по лицевому счету 40705810766150000012 на 30.03.2018 года - 1 лист</t>
  </si>
  <si>
    <t xml:space="preserve"> « 03 » апреля  2018г.</t>
  </si>
  <si>
    <t xml:space="preserve">по состоянию за 1 квартал 2018 года на 01 апреля 2018 года </t>
  </si>
  <si>
    <t xml:space="preserve">по состоянию за 2 квартал 2018 года на 01 июля 2018 года </t>
  </si>
  <si>
    <t xml:space="preserve"> « 04 » июля  2018 г.</t>
  </si>
  <si>
    <t xml:space="preserve">2. Документы подверждающие расходование денежных средств на проведение капиатльного ремонта на ________л. Согласно приложению </t>
  </si>
  <si>
    <t>01.07.18 - 31.07.18</t>
  </si>
  <si>
    <t>авансовый платеж 30%. Замена деревянных рам на пластиковые в подъезде</t>
  </si>
  <si>
    <t>г. Иркутск, ул. Лыткина, д. 11/6</t>
  </si>
  <si>
    <t>г. Иркутск, ул. Лыткина, д. 11/7</t>
  </si>
  <si>
    <t xml:space="preserve">по состоянию за 1 квартал 2019 года на 01 апреля 2019 года </t>
  </si>
  <si>
    <t>1. Справки ПАО «Сбербанк» об остатках денежных средств на специальных счетах на 31.03.2019 – 1 лист</t>
  </si>
  <si>
    <t xml:space="preserve"> « 04 » апреля  2019г.</t>
  </si>
  <si>
    <t>2. Выписка по лицевому счету 40705810766150000012 на 31.03.2019 года - 1 лист</t>
  </si>
  <si>
    <t xml:space="preserve">Ремонт ИТП с заменой счетчика тепловой энергии </t>
  </si>
  <si>
    <t>01.07.18 - 31.03.19</t>
  </si>
  <si>
    <t>01.07.18 - 31.01.19</t>
  </si>
  <si>
    <t>1. Справка банка, подтверждающая сумму остатка на 1 (одном)    л.</t>
  </si>
  <si>
    <t xml:space="preserve">2. Документы подверждающие расходование денежных средств на проведение капиатльного ремонта на 5 (пяти) л. Согласно приложению </t>
  </si>
  <si>
    <t>% собираемости</t>
  </si>
  <si>
    <t xml:space="preserve">по состоянию за 2 квартал 2019 года на 01 июля 2019 года </t>
  </si>
  <si>
    <t xml:space="preserve"> « 04 » июля  2019г.</t>
  </si>
  <si>
    <t>1. Справка ПАО «Сбербанк» об остатках денежных средств на специальных счетах на 30.06.2019 – 1 лист</t>
  </si>
  <si>
    <t>2. Выписка по лицевому счету 40705810766150000012 на 30.06.2019 года - 1 лист</t>
  </si>
  <si>
    <t xml:space="preserve">Авансовый платеж на выполнение проектных работ по договору № 65-19 от 01.04.19 "Капитальный ремонт кровли жилого дома по адресу г. Иркутск, ул .Декабрьских Событий, 109" </t>
  </si>
  <si>
    <t xml:space="preserve">3. Копия договора ООО "ГАБР" на выполнение проектных работ № 65-19 от 01.04.19 - 2 листа </t>
  </si>
  <si>
    <t>4. Копия счета ООО "ГАБР" от 09.04.19 № 74 - 1 лист</t>
  </si>
  <si>
    <t xml:space="preserve"> Приложение 3 к Порядку  (форма)</t>
  </si>
  <si>
    <t>с-до на нач.</t>
  </si>
  <si>
    <t>с-до на конец</t>
  </si>
  <si>
    <t>нарисовано</t>
  </si>
  <si>
    <t>1. Справка банка, подтверждающая сумму остатка на 2 (двух)  л.</t>
  </si>
  <si>
    <t xml:space="preserve">по состоянию за 3 квартал 2019 года на 01 октября 2019 года </t>
  </si>
  <si>
    <t xml:space="preserve"> « 04 » октября 2019г.</t>
  </si>
  <si>
    <t>1. Справка ПАО «Сбербанк» об остатках денежных средств на специальных счетах на 30.09.2019 – 1 лист</t>
  </si>
  <si>
    <t>2. Выписка по лицевому счету 40705810766150000012 на 30.09.2019 года - 1 лист</t>
  </si>
  <si>
    <t xml:space="preserve">Окончательная оплата за выполнение проектных работ по договору № 65-19 от 01.04.19 "Капитальный ремонт кровли жилого дома по адресу г. Иркутск, ул .Декабрьских Событий, 109" </t>
  </si>
  <si>
    <t>Оплата  за утепление фасада МКД г. Иркутск, ул .Декабрьских Событий, 109, согласно дог. от 15.07.2019 № 5-2019, акт от 09.09.2019 № 28</t>
  </si>
  <si>
    <t xml:space="preserve">3. Копия Акта ООО "ГАБР" на выполнение проектных работ № 65-19 от 15.07.19 - 1 лист </t>
  </si>
  <si>
    <t>5. Копия счета ИП Солоницын В.В. на выполнение работ по утеплению фасада № 18 от 15.07.2019 - 1 лист</t>
  </si>
  <si>
    <t>4. Копия Договора ИП Солоницын В.В. на выполнение работ по утеплению фасада № 5-2019 от 15.07.2019 - 4 листа</t>
  </si>
  <si>
    <t>5. Копия Акта ИП Солоницын В.В. на выполнение работ по утеплению фасада № 28 от 09.09.2019 - 1 лист</t>
  </si>
  <si>
    <t>Аванс 30 % за замену оконных заполнений в подъездах МКД по адресу г. Иркутск, ул. Депутатская 75</t>
  </si>
  <si>
    <t>Изготовление и монтаж металлических.дверей в подъездах МКД по адресу г. Иркутск, ул. Депутатская 75</t>
  </si>
  <si>
    <t>Аванс 30 % за замену оконных заполнений в подъезде МКД по адресу г. Иркутск, ул. Депутатская 75/1</t>
  </si>
  <si>
    <t>Изготовление и монтаж металлических.дверей в подъезде МКД по адресу г. Иркутск, ул. Депутатская 75/1</t>
  </si>
  <si>
    <t>ремонт ИТП с заменой счетчика тепловой энергии в МКД по адресу ул. Депутатская 77</t>
  </si>
  <si>
    <t>Аванс 30 % за замену входной двери в подъезде МКД по адресу г. Иркутск, ул. Депутатская 77</t>
  </si>
  <si>
    <t>3. Копия КС-2 и КС-3 ИП Солоницын В.В. на ремонт ИТП № 3 от 17.05.2019 на 5 (пяти) листах</t>
  </si>
  <si>
    <t>Изготовление и монтаж металлических.дверей в подъездах МКД по адресу г. Иркутск, ул. Депутатская 79</t>
  </si>
  <si>
    <t>Изготовление и монтаж металлической.двери в подъездах МКД по адресу г. Иркутск, ул. Депутатская 81</t>
  </si>
  <si>
    <t>Аванс 30 % за замену оконных заполнений в подъездах МКД по адресу г. Иркутск, ул. Иркутской 30 Дивизии 6</t>
  </si>
  <si>
    <t>Изготовление и монтаж металлических.дверей в подъездах МКД по адресу г. Иркутск, ул. Иркутской 30 Дивизии 6</t>
  </si>
  <si>
    <t>Аванс 30 % за замену оконных заполнений в подъездах МКД по адресу г. Иркутск, ул. Красноказачья 120/1</t>
  </si>
  <si>
    <t>Изготовление и монтаж металлических.дверей в подъездах МКД по адресу г. Иркутск, ул. Красноказачья 120/1</t>
  </si>
  <si>
    <t>Изготовление и монтаж металлических.дверей в подъездах МКД по адресу г. Иркутск, ул. Красноказачья 120/3</t>
  </si>
  <si>
    <t>Замена оконных заполнений в подъездах МКД по адресу г. Иркутск, ул. Красноказачья 120/3</t>
  </si>
  <si>
    <t>5. Копия Акта ИП Бородаев М.С. на замену окон в подъездах № 25 от 30.08.2019 на 1 (одном) листе</t>
  </si>
  <si>
    <t>6. Копия счета ИП Бородаев М.С. на замену окон в подъездах № 23 от 10.07.2019 на 1 (одном) листе</t>
  </si>
  <si>
    <t>7. Копия договора  ИП Бородаев М.С. на замену окон в подъездах № 5 от 08.07.2019 на 4 (четырех) листах</t>
  </si>
  <si>
    <t>Изготовление и монтаж металлической.двери в подъезде МКД по адресу г. Иркутск, ул. Станиславского 25</t>
  </si>
  <si>
    <t>2. Копия Акта и УПД ООО ПКФ "Марена" на замену входной двери в подъезде № 40 от 23.08.2019 на 3 (трех) листах</t>
  </si>
  <si>
    <t>Аванс 30 % за замену входной двери в подъезде МКД по адресу г. Иркутск, ул. Станиславского 29</t>
  </si>
  <si>
    <t>2. Копия счета ООО ПКФ "Марена"  на замену входной двери в подъезде № 87 от 18.07.2019 на 1 (одном) листе</t>
  </si>
  <si>
    <t>3. Копия договора ООО ПКФ "Марена"  на замену входной двери в подъезде  № 18/09-3 от 18.09.2019 на 4 (четырех) листах</t>
  </si>
  <si>
    <t>Окончательный расчет за ремонт ИТП с заменой счетчика тепловой энергии в МКД по адресу ул. Станиславского 33</t>
  </si>
  <si>
    <t>2. Копия Счета ИП Солоницын В.В. на ремонт ИТП № 22 от 23.10.2018 на 1 (одном) листе</t>
  </si>
  <si>
    <t>1. Справка банка, подтверждающая сумму остатка по счетам  на 1 (одном)  л.</t>
  </si>
  <si>
    <t xml:space="preserve">по состоянию за 4 квартал 2019 года на 01 января 2020 года </t>
  </si>
  <si>
    <t>г. Иркутск, ул. Омулевского, 31а</t>
  </si>
  <si>
    <t>1. Справка ПАО «Сбербанк» от 06.01.20 № 7147774568373 об остатках денежных средств на специальных счетах на 31.12.2019 – 1 лист</t>
  </si>
  <si>
    <t xml:space="preserve"> 09 января 2020г.</t>
  </si>
  <si>
    <t>1. Справка ПАО «Сбербанк» от 06.01.20 № 7147774568947 об остатках денежных средств на специальных счетах на 31.12.2019 – 1 лист</t>
  </si>
  <si>
    <t>1. Справка ПАО «Сбербанк» от 06.01.20 № 7147774569367 об остатках денежных средств на специальных счетах на 31.12.2019 – 1 лист</t>
  </si>
  <si>
    <t>1. Справка ПАО «Сбербанк» от 06.01.20 № 7147774569528 об остатках денежных средств на специальных счетах на 31.12.2019 – 1 лист</t>
  </si>
  <si>
    <t>1. Выписка по лицевому счету 40705810766150000012 на 31.12.2019 года - 1 лист</t>
  </si>
  <si>
    <t>Окончательная оплата 70 % за замену оконных заполнений в подъездах МКД по адресу г. Иркутск, ул. Депутатская 75</t>
  </si>
  <si>
    <t>09 января 2020 г.</t>
  </si>
  <si>
    <t>Оокнчательная оплата 70%  за замену оконных заполнений в подъезде МКД по адресу г. Иркутск, ул. Депутатская 75/1</t>
  </si>
  <si>
    <t xml:space="preserve"> на установку насоса, повышающего давление на систему ХВС в МКД по адресу г. Иркутск, ул. Депутатская 75/1</t>
  </si>
  <si>
    <t>Замена входной двери в подъезде МКД по адресу г. Иркутск, ул. Депутатская 77</t>
  </si>
  <si>
    <t>1.</t>
  </si>
  <si>
    <t>2.</t>
  </si>
  <si>
    <t>3.</t>
  </si>
  <si>
    <t>4.</t>
  </si>
  <si>
    <t>5.</t>
  </si>
  <si>
    <t>К ООО ПКФ "Марена" на замену входной двери в подъезде № 71 от 01.11.2019 на 1 (одном) листе</t>
  </si>
  <si>
    <t>КС-2 и КС-3 ИП Кузнецов А.К. на установку насоса, повышающего давление на систему ХВС № 1 от 25.12.2019 на 3 (трёх) листах</t>
  </si>
  <si>
    <t>6.</t>
  </si>
  <si>
    <t>Договор  ИП Кузнецов А.К.  на установку насоса, повышающего давление на систему ХВС № 17 от 21.10.2019 на 3 (трёх) листах</t>
  </si>
  <si>
    <t>Установка насоса, повышающего давление на систему ХВС в МКД по адресу г. Иркутск, ул. Депутатская 79</t>
  </si>
  <si>
    <t>Установка насоса, повышающего давление на систему ХВС в МКД по адресу г. Иркутск, ул. Иркутской 30 Дивизии 6</t>
  </si>
  <si>
    <t>Замена оконных заполнений в подъездах МКД по адресу г. Иркутск, ул. Иркутской 30 Дивизии 6</t>
  </si>
  <si>
    <t>7.</t>
  </si>
  <si>
    <t>8.</t>
  </si>
  <si>
    <t>Акт ИП Кузнецов А.К. на установку насоса, повышающего давление на систему ХВС № 210 от 25.12.2019 на 1 (одном) листе</t>
  </si>
  <si>
    <t>Счёт ИП Кузнецов А.К.  на установку насоса, повышающего давление на систему ХВС № 206 от 25.12.2019 на 1 (одном) листе</t>
  </si>
  <si>
    <t>Акт ИП Бородаев М.С. на замену окон в подъездах № 36 от 30.09.2019 на 1 (одном) листе</t>
  </si>
  <si>
    <t>Счёт ИП Бородаев М.С. на замену окон в подъездах № 22 от 10.07.2019 на 1 (одном) листе</t>
  </si>
  <si>
    <t>Договор  ИП Бородаев М.С. на замену окон в подъездах № 4 от 08.07.2019 на 4 (четырех) листах</t>
  </si>
  <si>
    <t>Устновка окон из ПВХ профиля в подъездах МКД по адресу г. Иркутск, ул. Красноказачья 120/1</t>
  </si>
  <si>
    <t>Замена входной двери в подъезде МКД по адресу г. Иркутск, ул. Станиславского 29</t>
  </si>
  <si>
    <t>Акт ООО ПКФ "Марена" на замену входной двери в подъезде № 72 от 01.11.2019 на 1 (одном) листе</t>
  </si>
  <si>
    <t>Счёт ООО ПКФ "Марена"  на замену входной двери в подъезде № 87от 18.09.2019 на 1 (одном) листе</t>
  </si>
  <si>
    <t>Договор ООО ПКФ "Марена"  на замену входной двери в подъезде  № 18/09-3 от 18.09.2019 на 4 (четырех) листах</t>
  </si>
  <si>
    <t>Справка ПАО «Сбербанк» от 06.01.20 № 7148069710774 об остатках денежных средств на специальных счетах на 31.12.2019 – 1 лист</t>
  </si>
  <si>
    <t>Депутатская, д.75</t>
  </si>
  <si>
    <t xml:space="preserve">Окончательная оплата 70 % за замену оконных заполнений в подъездах </t>
  </si>
  <si>
    <t>Депутатская, д.75/1</t>
  </si>
  <si>
    <t xml:space="preserve">Окончательная оплата 70%  за замену оконных заполнений в подъезде </t>
  </si>
  <si>
    <t xml:space="preserve">Установка насоса, повышающего давление на систему ХВС в МКД </t>
  </si>
  <si>
    <t>Депутатская, д.77</t>
  </si>
  <si>
    <t xml:space="preserve">Замена входной двери в подъезде МКД </t>
  </si>
  <si>
    <t>Депутатская, д.79</t>
  </si>
  <si>
    <t>Установка насоса, повышающего давление на систему ХВС в МКД</t>
  </si>
  <si>
    <t>Депутатская, д.81</t>
  </si>
  <si>
    <t>Иркутской 30-й дивизии, д.6</t>
  </si>
  <si>
    <t xml:space="preserve">Замена оконных заполнений в подъездах МКД </t>
  </si>
  <si>
    <t>Установка насоса, повышающего давление на систему ХВС</t>
  </si>
  <si>
    <t xml:space="preserve"> Иркутской 30-й дивизии, д.8</t>
  </si>
  <si>
    <t xml:space="preserve"> Красноказачья, д.120/1</t>
  </si>
  <si>
    <t>Устновка окон из ПВХ профиля в подъездах</t>
  </si>
  <si>
    <t>Красноказачья, д.120/3</t>
  </si>
  <si>
    <t>Красноказачья, д.120/4</t>
  </si>
  <si>
    <t>Станиславского д. 25</t>
  </si>
  <si>
    <t>Станиславского д. 27</t>
  </si>
  <si>
    <t>Станиславского д. 29</t>
  </si>
  <si>
    <t xml:space="preserve">Замена входной двери в подъезде </t>
  </si>
  <si>
    <t>Станиславского, д.31</t>
  </si>
  <si>
    <t xml:space="preserve"> Станиславского, д.33</t>
  </si>
  <si>
    <t xml:space="preserve">по состоянию за 1 квартал 2020 года на 01 апреля 2020 года </t>
  </si>
  <si>
    <t>06 апреля 2020 г.</t>
  </si>
  <si>
    <t>1. Справка ПАО «Сбербанк» от 02.04.20 № 7323426855275 об остатках денежных средств на специальных счетах на 31.03.2020 – 1 лист</t>
  </si>
  <si>
    <t>Предоплата по дог. № 64-20-К от 19.03.20 за замену двери в переходе лестничной клетки МКД Лыткина 11/6</t>
  </si>
  <si>
    <t>2. Счет № 64 от 19.03.2020  - 1 лист</t>
  </si>
  <si>
    <t>3. Договор с ООО СПК "Контакт Трейд" от 19.03.2020 № 64-20-К  - 3 листа</t>
  </si>
  <si>
    <t>Замена двери из алюминевого профиля в переходе лестничной клетки</t>
  </si>
  <si>
    <t>1. Справка ПАО «Сбербанк» от 02.04.20 № 7323426854876 об остатках денежных средств на специальных счетах на 31.03.2020 – 1 лист</t>
  </si>
  <si>
    <t>2. Акт № 49 от 17.03.2020 - 1 лист</t>
  </si>
  <si>
    <t>3. УПД № 42 от 17.03.2020 - 1 лист</t>
  </si>
  <si>
    <t>5. Счет № 4 от 17.03.2020  - 1 лист</t>
  </si>
  <si>
    <t>7. Протокол общего собрания собственников от 28.02.20 № 1  - 3 листа</t>
  </si>
  <si>
    <t>1. Справка ПАО «Сбербанк» от 02.04.20 № 7323426854265 об остатках денежных средств на специальных счетах на 31.03.2020 – 1 лист</t>
  </si>
  <si>
    <t>1. Справка ПАО «Сбербанк» от 02.04.20 № 7323426853287 об остатках денежных средств на специальных счетах на 31.03.2020 – 1 лист</t>
  </si>
  <si>
    <t>1. Выписка по лицевому счету 40705810766150000012 на 31.03.2020 года - 1 лист</t>
  </si>
  <si>
    <t>списание</t>
  </si>
  <si>
    <t>списано</t>
  </si>
  <si>
    <t>проценты по дог.</t>
  </si>
  <si>
    <t>Справка ПАО «Сбербанк» от 06.04.2020 № 7330630451135 об остатках денежных средств на специальных счетах на 31.03.2020 – 1 лист</t>
  </si>
  <si>
    <t xml:space="preserve">по состоянию за 2 квартал 2020 года на 01 июля 2020 года </t>
  </si>
  <si>
    <t>06 июля 2020 г.</t>
  </si>
  <si>
    <t>Утепление перекрытия балкона над квартирой № 32 МКД Лыткина 11/6</t>
  </si>
  <si>
    <t>26.03.2020 (оплата 14.04.2020)</t>
  </si>
  <si>
    <t>26.03.2020 (оплата 15.04.2020)</t>
  </si>
  <si>
    <t>18.03.2020 (оплата 14.04.2020)</t>
  </si>
  <si>
    <t xml:space="preserve">Замена циркуляционного насоса системы ГВС МКД Лыткина 11/6 </t>
  </si>
  <si>
    <t>Ремонт учатска вводного кабеля электроснабжения МКД Лыткина 11/6</t>
  </si>
  <si>
    <t>1. Справка ПАО «Сбербанк» от 03.07.20 № 7500690388357 об остатках денежных средств на специальных счетах на 01.07.2020 – 1 лист</t>
  </si>
  <si>
    <t>Допплата за замену двери в переходе лестничной клетки МКД Лыткина 11/6</t>
  </si>
  <si>
    <t>1. Справка ПАО «Сбербанк» от 03.07.20 № 7500690388757 об остатках денежных средств на специальных счетах на 01.07.2020 – 1 лист</t>
  </si>
  <si>
    <t>Замена циркуляционного насоса системы отопления МКД Омулевского 31а</t>
  </si>
  <si>
    <t>Замена общедомового прибора учета тепловой энергии в МКД Омулевского 31а</t>
  </si>
  <si>
    <t>1. Справка ПАО «Сбербанк» от 03.07.20 № 7500687758035 об остатках денежных средств на специальных счетах на 01.07.2020 – 1 лист</t>
  </si>
  <si>
    <t>1. Справка ПАО «Сбербанк» от 03.07.20 № 7500690386406 об остатках денежных средств на специальных счетах на 01.07.2020 – 1 лист</t>
  </si>
  <si>
    <t>18.03.2020 (оплата 02.04.2020)</t>
  </si>
  <si>
    <t>2. Акт № 38 от 18.03.2020 - 1 лист</t>
  </si>
  <si>
    <t>4. Договор № 28.12_2019 от 15.01.2020 - 2 листа</t>
  </si>
  <si>
    <t>3. Счет № 44 от 18.03.2020 - 1 лист</t>
  </si>
  <si>
    <t>5. Акт № 20 от 18.03.2020 - 1 лист</t>
  </si>
  <si>
    <t>26.03.2020 (оплата 02.04.2020)</t>
  </si>
  <si>
    <t>6. Счет № 20 от 18.03.2020 - 1 лист</t>
  </si>
  <si>
    <t>7. Договор № 11_Л11/7 от 15.01.2020 - 3 листа</t>
  </si>
  <si>
    <t>8. Протокол общего собрания собственников от 28.12.19 № 1  - 5 листов</t>
  </si>
  <si>
    <t>1. Выписка по лицевому счету 40705810766150000012 на 30.06.2020 года - 1 лист</t>
  </si>
  <si>
    <t>Справка ПАО «Сбербанк» от 06.07.2020 № 7505999260538 об остатках денежных средств на специальных счетах на 01.07.2020 – 2 л.</t>
  </si>
  <si>
    <r>
      <t xml:space="preserve">ОГРН </t>
    </r>
    <r>
      <rPr>
        <u/>
        <sz val="12"/>
        <rFont val="Times New Roman"/>
        <family val="1"/>
        <charset val="204"/>
      </rPr>
      <t>1033801537582</t>
    </r>
  </si>
  <si>
    <t xml:space="preserve">по состоянию за 3 квартал 2020 года на 01 октября 2020 года </t>
  </si>
  <si>
    <t>02 октября 2020 г.</t>
  </si>
  <si>
    <t>Справка ПАО «Сбербанк» от 01.10.2020  об остатках денежных средств на специальных счетах на 01.10.2020 – 15 л.</t>
  </si>
  <si>
    <t>07.09.2020 (оплата 18.09.2020)</t>
  </si>
  <si>
    <t>Замена регулятора давления МКД Омулевского 31а</t>
  </si>
  <si>
    <t>1. Справка ПАО «Сбербанк» от 01.10.20 № 7702829179063 об остатках денежных средств на специальных счетах на 01.10.2020 – 1 лист</t>
  </si>
  <si>
    <t>1. Справка ПАО «Сбербанк» от 01.10.20 № 7702829181046 об остатках денежных средств на специальных счетах на 01.10.2020 – 1 лист</t>
  </si>
  <si>
    <t>1. Справка ПАО «Сбербанк» от 01.10.20 № 7702840364982 об остатках денежных средств на специальных счетах на 01.10.2020 – 1 лист</t>
  </si>
  <si>
    <t>1. Справка ПАО «Сбербанк» от 01.10.20 № 7702829180394 об остатках денежных средств на специальных счетах на 01.10.2020 – 1 лист</t>
  </si>
  <si>
    <t>1. Выписка по лицевому счету 40705810766150000012 на 30.09.2020 года - 1 лист</t>
  </si>
  <si>
    <t>2. Акт № 148 от 07.09.2020 - 1 лист</t>
  </si>
  <si>
    <t>3. Счет № 150 от 07.09.2020 - 1 лист</t>
  </si>
  <si>
    <t>4. Договор № 13_2020 от 01.08.2020 - 4 листа</t>
  </si>
  <si>
    <t>5. Протокол общего собрания собственников от 03.03.20 № 1  - 5 листов</t>
  </si>
  <si>
    <t xml:space="preserve">по состоянию за 4 квартал 2020 года на 01 января 2021 года </t>
  </si>
  <si>
    <t>г. Иркутск, ул. Иркутской 30 Дивизии, 26/4</t>
  </si>
  <si>
    <t>1. Выписка по лицевому счету 40705810766150000012 на 31.12.2020 года - 1 лист</t>
  </si>
  <si>
    <t>04 января 2021 г.</t>
  </si>
  <si>
    <t>1. Справка ПАО «Сбербанк» от 03.01.21 № 7990215025680 об остатках денежных средств на специальных счетах на 01.01.2021 – 1 лист</t>
  </si>
  <si>
    <t>Справка ПАО «Сбербанк» № 7990287311690 от 03.01.2021  об остатках денежных средств на специальных счетах на 01.01.2021 – 1 л.</t>
  </si>
  <si>
    <t xml:space="preserve">по состоянию за 1 квартал 2021 года на 01 апреля 2021 года </t>
  </si>
  <si>
    <t>1. Справка ПАО «Сбербанк» от 01.04.21 № 8218848418549 об остатках денежных средств на специальных счетах на 01.04.2021 – 1 лист</t>
  </si>
  <si>
    <t>1. Выписка по лицевому счету 40705810766150000012 на 01.04.2021 года - 1 лист</t>
  </si>
  <si>
    <t>05 апреля 2021 г.</t>
  </si>
  <si>
    <t>Справка ПАО «Сбербанк» № 8218937728094 от 01.04.2021  об остатках денежных средств на специальных счетах на 01.04.2021 – 1 л.</t>
  </si>
  <si>
    <t>1. Справка ПАО «Сбербанк» от 01.07.21 № 8446255238569 об остатках денежных средств на специальных счетах на 01.07.2021 – 1 лист</t>
  </si>
  <si>
    <t xml:space="preserve">по состоянию за 2 квартал 2021 года на 01 июля 2021 года </t>
  </si>
  <si>
    <t>05 июля 2021 г.</t>
  </si>
  <si>
    <t>Ремонт отмостки (укладка тротуарной плитки)</t>
  </si>
  <si>
    <t>2. Акт № 1 от 31.05.2021 - 1 лист</t>
  </si>
  <si>
    <t>3. Счет № 1 от 06.05.2021 - 1 лист</t>
  </si>
  <si>
    <t>4. Счет № 2 от 31.05.2021 - 1 лист</t>
  </si>
  <si>
    <t>5. Договор № 1 от 06.05.2021 - 8 листов</t>
  </si>
  <si>
    <t>5. Протокол общего собрания собственников от 25.12.20 № 2  - 5 листов</t>
  </si>
  <si>
    <t>Справка ПАО «Сбербанк» № 8446413351301 от 01.07.2021  об остатках денежных средств на специальных счетах на 01.07.2021 – 1 л.</t>
  </si>
  <si>
    <t>1. Выписка по лицевому счету 40705810766150000012 на 30.06.2021 года - 1 лист</t>
  </si>
  <si>
    <t>Авансовый платеж 30% за работы по герметизации ввода трубопровода теплоснабжения</t>
  </si>
  <si>
    <t>23.06.2021 (акт от 17.06.2021)</t>
  </si>
  <si>
    <t>Работы по замене кранов шаровых на стояках отопления в подвальном помещении</t>
  </si>
  <si>
    <t>Работы по замене кранов шаровых на трубопроводе отопления в подвальном помещении</t>
  </si>
  <si>
    <t>Авансовый платеж 30% за работы по ремонту теплового узла</t>
  </si>
  <si>
    <t>Договор ИП Кузнецов А.К.. от 25.05.21 № ТСЖ/7-2021 на ремонт теплового узла на 10 (десяти) л.</t>
  </si>
  <si>
    <t>Счёт ИП "Кузнецов А.К."  авансовый платеж 30 % на ремонт теплового узла № 1 от 25.05.2021 на 1 (одном) л.</t>
  </si>
  <si>
    <t>Авансовый платеж 30% за работы по замене кранов шаровых на стояках отопления в подвальном помещении</t>
  </si>
  <si>
    <t>Протокол общего собрания собственников помещений МКД от 25.05.21 № 1 на 5 (пяти) л.</t>
  </si>
  <si>
    <t xml:space="preserve">Авансовый платеж 30% на работы по замене двух выпусков канализации </t>
  </si>
  <si>
    <t>Договор ИП Бовыкин С.Д. от 01.06.21 № ТСЖ/8-2021на работы по замене водосточных труб на 6 (шести) л.</t>
  </si>
  <si>
    <t>Счёт ИП "Бовыкин С.Д."  авансовый платеж 30 % за работы по замене водосточных труб № 8 от 01.06.2021 на 1 (одном) л.</t>
  </si>
  <si>
    <t>Акт ИП "Бовыкин С.Д."  на работы по замене водосточных труб № 10 от 15.06.2021 на 1 (одном) л.</t>
  </si>
  <si>
    <t>Счёт ИП "Бовыкин С.Д." окончательная оплата за работы по замене водосточных труб № 10 от 15.06.2021 на 1 (одном) л.</t>
  </si>
  <si>
    <t>16.06.2021 (Акт от 15.06.2021г)</t>
  </si>
  <si>
    <t>Работы по замене водосточных труб</t>
  </si>
  <si>
    <t>05 октября 2021 г.</t>
  </si>
  <si>
    <t>1. Справка ПАО «Сбербанк» от 01.10.21 № 8664119131968 об остатках денежных средств на специальных счетах на 30.09.2021 – 1 лист</t>
  </si>
  <si>
    <t>1. Выписка по лицевому счету 40705810766150000012 на 30.09.2021 года - 1 лист</t>
  </si>
  <si>
    <t xml:space="preserve">по состоянию за 3 квартал 2021 года на 01 октября 2021 года </t>
  </si>
  <si>
    <t>Работы по герметизации ввода трубопровода теплоснабжения</t>
  </si>
  <si>
    <t>16.07.2021 (Акт от 16.07.2021)</t>
  </si>
  <si>
    <t>09.08.2021 (Акт от 16.07.2021)</t>
  </si>
  <si>
    <t>Работы по ремонту теплового узла</t>
  </si>
  <si>
    <t xml:space="preserve">10.08.2021 (Акт от 06.08.2021) </t>
  </si>
  <si>
    <t>Замена входных дверей в подъездах МКД</t>
  </si>
  <si>
    <t xml:space="preserve">Акт от 15.09.2021) </t>
  </si>
  <si>
    <t>Справка ПАО «Сбербанк» №  86636110878791 от 01.10.2021  об остатках денежных средств на специальных счетах на 30.09.2021 – 1 л.</t>
  </si>
  <si>
    <t>Договор ООО ПКФ "Марена" от 18.08.21 № 18/08-1 на работы по изготовлениию и установке металлической двери в подъедах МКД  на 3 (трех) л.</t>
  </si>
  <si>
    <t>Акт ООО "ПКФ "Марена" на работы по изготовлениию и установке металлической двери в подъедах МКД № 93 от 15.09.2021 на 1 (одном) л.</t>
  </si>
  <si>
    <t>Счёт ООО "ПКФ "Марена" оплата за работы по изготовлениию и установке металлической двери в подъедах МКД  № 108 от 20.08.2021 на 1 (одном) л.</t>
  </si>
  <si>
    <t xml:space="preserve">по состоянию за 4 квартал 2021 года на 01 января 2022 года </t>
  </si>
  <si>
    <t>г. Иркутск, ул. Донская, 24/4</t>
  </si>
  <si>
    <t>1. Справка ПАО «Сбербанк» от 03.01.22 № 1 об остатках денежных средств на специальных счетах на 31.12.2021 – 1 лист</t>
  </si>
  <si>
    <t>1. Выписка по лицевому счету 40705810766150000012 на 30.12.2021 года - 1 лист</t>
  </si>
  <si>
    <t>06 января 2022 г.</t>
  </si>
  <si>
    <t>10.11.2021 (Акт от 06.08.2021)</t>
  </si>
  <si>
    <t>10.11.2021 (Акт от 13.08.2021)</t>
  </si>
  <si>
    <t>Замена двух выпусков канализации</t>
  </si>
  <si>
    <t>19.11.2021 (Акт от 31.08.2021)</t>
  </si>
  <si>
    <t>Справка ПАО «Сбербанк» №  1 от 01.01.2022 об остатках денежных средств на специальных счетах на 31.12.2021 – 1 л.</t>
  </si>
  <si>
    <t>Договор ИП Бовыкин С.Д. от 07.06.21 № ТСЖ/9-2021 на работы по замене двух выпусков системы водоотведения МКД  на 12 (двенадцати) л.</t>
  </si>
  <si>
    <t>Акт ИП Бовыкин С.Д. на работы по замене двух выпусков системы водоотведения МКД  № 17 от 31.08.2021 на 1 (одном) л.</t>
  </si>
  <si>
    <t>Счёт ИП Бовыкин С.Д. на работы по замене двух выпусков системы водоотведения МКД  № 16 от 31.08.2021 на 1 (одном) л.</t>
  </si>
  <si>
    <t>Протокол общего собрания собственников помещений МКД от 15.05.21 № 1 на 5 (пяти) л.</t>
  </si>
  <si>
    <t>Договор ИП Бовыкин С.Д. от 25.05.21 № ТСЖ/5-2021 на работы по герметизации ввода трубопровода теплоснабжения d80мм МКД  на 10 (десяти) л.</t>
  </si>
  <si>
    <t>Акт ИП Бовыкин С.Д. на работы по герметизации ввода трубопровода теплоснабжения d80мм МКД  № 14 от 06.08.2021 на 1 (одном) л.</t>
  </si>
  <si>
    <t>Счёт ИП Бовыкин С.Д. на работы по герметизации ввода трубопровода теплоснабжения d80мм МКД  № 14 от 06.08.2021 на 1 (одном) л.</t>
  </si>
  <si>
    <t>Договор ИП Кузнецов А.К. от 25.05.21 № ТСЖ/7-2021 на работы по ремонту теплового узла МКД  на 10 (десяти) л.</t>
  </si>
  <si>
    <t>Акт ИП Кузнецов А.К. на работы по ремонту теплового узла МКД  № 13 от 13.08.2021 на 1 (одном) л.</t>
  </si>
  <si>
    <t>Счёт ИП Кузнецов А.К.. на работы по ремонту теплового узла МКД  № 15 от 13.08.2021 на 1 (одном) л.</t>
  </si>
  <si>
    <t xml:space="preserve">по состоянию за 1 квартал 2022 года на 01 апреля 2022 года </t>
  </si>
  <si>
    <t>г. Иркутск, ул. Донская, 24/1</t>
  </si>
  <si>
    <t>начисл</t>
  </si>
  <si>
    <t>пени</t>
  </si>
  <si>
    <t>1. Выписка по лицевому счету 40705810766150000012 на 31.03.2022 года - 1 лист</t>
  </si>
  <si>
    <t>06 апреля 2022г.</t>
  </si>
  <si>
    <t>Выписка операций по лицевому счету № 40705810918350010384 на 31.03.2022 – 1 л.</t>
  </si>
  <si>
    <t>Выписка операций по лицевому счету № 40705810618350000319 на 31.03.2022 – 1 л.</t>
  </si>
  <si>
    <t xml:space="preserve">по состоянию за 2 квартал 2022 года на 01 июля 2022 года </t>
  </si>
  <si>
    <t>06 июля 2022г.</t>
  </si>
  <si>
    <t>1. Справка ПАО «Сбербанк» от 01.07.22 № 4 об остатках денежных средств на специальных счетах на 30.06.2022 – 1 лист</t>
  </si>
  <si>
    <t>1. Выписка по лицевому счету 40705810766150000012 на 30.06.2022 года - 1 лист</t>
  </si>
  <si>
    <t>Выписка операций по лицевому счету № 40705810918350010384 на 30.06.2022 – 1 л.</t>
  </si>
  <si>
    <t xml:space="preserve">по состоянию за 3 квартал 2022 года на 01 октября 2022 года </t>
  </si>
  <si>
    <t>04 октября 2022г.</t>
  </si>
  <si>
    <t>Справка об остатках денежных средств на  расчетных счетах по состоянию на 01.10.2022 № 6 от 03.10.2022г.</t>
  </si>
  <si>
    <t>Работы по утеплению участка фасадной стены на 5-м этаже, площадью 70 кв.м.</t>
  </si>
  <si>
    <t>Замена трубопровода выпуска канализации многоквартирного дома по адресу г.Иркутск, ул. Донская, 24/4</t>
  </si>
  <si>
    <t>устройство бетонной отмостки</t>
  </si>
  <si>
    <t>25.07.2022(частичная оплата) Акт от № 24 от  25.07.2022</t>
  </si>
  <si>
    <t>15.07.2022   (Акт от № 23 от  15.07.2022)</t>
  </si>
  <si>
    <t>13.09.2022г.</t>
  </si>
  <si>
    <t xml:space="preserve">Замена выпуска канализации МКД Лыткина 11/6 </t>
  </si>
  <si>
    <t>1. Выписка по лицевому счету 40705810766150000012 на 30.09.2022 года - 1 лист</t>
  </si>
  <si>
    <t>1. Справка ПАО «Сбербанк» от 03.10.22 № 5 об остатках денежных средств на специальных счетах на 01.10.2022 – 1 лист</t>
  </si>
  <si>
    <t>2. Счет № 5 от 01.09.2022 - 1 лист</t>
  </si>
  <si>
    <t>3. Договор № 01.09.2022-01 от 01.09.2022 - 3 листа</t>
  </si>
  <si>
    <t>4. Счет № 6 от 01.09.2022 - 1 лист</t>
  </si>
  <si>
    <t>5. Договор № 01.09.122-02 от 01.09.2022 - 3 листа</t>
  </si>
  <si>
    <t>6. Протокол общего собрания собственников от 31.08.2022 № 1  -2 листа</t>
  </si>
  <si>
    <t xml:space="preserve">по состоянию за 4 квартал 2022 года на 01 января 2023 года </t>
  </si>
  <si>
    <t>04 января 2023г.</t>
  </si>
  <si>
    <t>19.10.2022 (окончательная оплата) Акт от № 24 от  25.07.2022</t>
  </si>
  <si>
    <t>02.11.2022 (Акт № 9 от 31.10.2022г.)</t>
  </si>
  <si>
    <t>устройство бетонной отмостки Лыткина 11/6</t>
  </si>
  <si>
    <t>02.11.2022 (Акт № 8 от 21.10.2022г.)</t>
  </si>
  <si>
    <t>Замена уличных дверей на лестничной площадке Лыткина 11/7</t>
  </si>
  <si>
    <t>Окончательный расчет за работы по утеплению участка фасадной стены на 5-м этаже, площадью 70 кв.м.</t>
  </si>
  <si>
    <t>22.11.2022 (УПД № 113 от 14.11.2022)</t>
  </si>
  <si>
    <t>Работы по устройству бетонной отмостки Лыткина 11/7</t>
  </si>
  <si>
    <t>31.10.2022 (Акт № 10 от 31.10.2022)</t>
  </si>
  <si>
    <t>начислено</t>
  </si>
  <si>
    <t>поступило</t>
  </si>
  <si>
    <t>Справка об остатках денежных средств на  расчетных счетах по состоянию на 01.01.2023 № 1 от 03.01.2023г.</t>
  </si>
  <si>
    <t>ул. Иркутской 30 дивизии, дом № 6</t>
  </si>
  <si>
    <t>ул. Иркутской 30 дивизии, дом № 8</t>
  </si>
  <si>
    <t>ул. Красноказачья, дом № 120/1</t>
  </si>
  <si>
    <t>ул. Красноказачья, дом № 120/3</t>
  </si>
  <si>
    <t>ул. Красноказачья, дом № 120/4</t>
  </si>
  <si>
    <t>ул. Станиславского дом № 25</t>
  </si>
  <si>
    <t>ул. Станиславского дом № 27</t>
  </si>
  <si>
    <t>ул. Станиславского дом № 29</t>
  </si>
  <si>
    <t>ул. Станиславского, дом № 31</t>
  </si>
  <si>
    <t>ул. Станиславского, дом № 33</t>
  </si>
  <si>
    <t>ул. Депутатская, дом № 75</t>
  </si>
  <si>
    <t>ул. Депутатская, дом № 75/1</t>
  </si>
  <si>
    <t>ул. Депутатская, дом № 77</t>
  </si>
  <si>
    <t>ул. Депутатская, дом № 79</t>
  </si>
  <si>
    <t>ул. Депутатская, дом № 81</t>
  </si>
  <si>
    <t>ул. Декабрьских Событий, дом № 109</t>
  </si>
  <si>
    <t>ул. Поленова, дом № 6</t>
  </si>
  <si>
    <t>ул. Лыткина, дом № 11/6</t>
  </si>
  <si>
    <t>ул. Лыткина, дом № 11/7</t>
  </si>
  <si>
    <t>ул. Омулевского, дом № 31а</t>
  </si>
  <si>
    <t>ул. Иркутской 30 Дивизии, дом № 26/4</t>
  </si>
  <si>
    <t>ул. Донская, дом № 24/1</t>
  </si>
  <si>
    <t>ул. Донская, дом № 24/4</t>
  </si>
  <si>
    <t>1. Справка ПАО «Сбербанк» от 03.01.23 № 1 об остатках денежных средств на специальных счетах на 01.03.2023 – 1 лист</t>
  </si>
  <si>
    <t>2. Акт № 10 от 31.10.2022 - 1 лист</t>
  </si>
  <si>
    <t>3. Счет № 7 от 07.10.2022- 1 лист</t>
  </si>
  <si>
    <t>4. Счет № 9 от 31.10.2022- 1 лист</t>
  </si>
  <si>
    <t>5. Договор № 01.10.2022-02 от 01.10.2022 - 3 листа</t>
  </si>
  <si>
    <t>6. УПД № 113 от 14.11.2022 - 1 лист</t>
  </si>
  <si>
    <t>7. Счет № 341 от 21.11.2022 - 1 лист</t>
  </si>
  <si>
    <t>8. Счет № 341 от 07.10.2022 - 1 лист</t>
  </si>
  <si>
    <t>9. Договор № 341-22-В от 07.10.2022 - 3 листа</t>
  </si>
  <si>
    <t>10. Протокол общего собрания собственников от 30.09.2022 № 1  -3 листа</t>
  </si>
  <si>
    <t>1. Выписка по лицевому счету 40705810766150000012 на 31.12.2022 года - 1 лист</t>
  </si>
  <si>
    <t xml:space="preserve">по состоянию за 1 квартал 2023 года на 01 апреля 2023 года </t>
  </si>
  <si>
    <t>04 апреля 2023г.</t>
  </si>
  <si>
    <t>Справка об остатках денежных средств на  расчетных счетах по состоянию на 01.04.2023 № 2 от 03.04.2023г.</t>
  </si>
  <si>
    <t>ПЕНИ</t>
  </si>
  <si>
    <t xml:space="preserve">по состоянию за 2 квартал 2023 года на 01 июля 2023 года </t>
  </si>
  <si>
    <t>04 июля 2023г.</t>
  </si>
  <si>
    <t>1. Справка ПАО «Сбербанк» от 01.07.23 № 1 об остатках денежных средств на специальных счетах на 01.07.2023 – 1 лист</t>
  </si>
  <si>
    <t>1. Выписка по лицевому счету 40705810766150000012 на 30.06.2023 года - 1 лист</t>
  </si>
  <si>
    <t>Справка об остатках денежных средств на  расчетных счетах по состоянию на 01.07.2023 № 1 от 05.07.2023г.</t>
  </si>
  <si>
    <t>05 июля 2023г.</t>
  </si>
  <si>
    <t xml:space="preserve">по состоянию за 3 квартал 2023 года на 01 октября 2023 года </t>
  </si>
  <si>
    <t>04 октября 2023г.</t>
  </si>
  <si>
    <t>1. Выписка по лицевому счету 40705810766150000012 на 30.09.2023 года - 1 лист</t>
  </si>
  <si>
    <t>1. Справка ПАО «Сбербанк» от 01.10.23 № 1 об остатках денежных средств на специальных счетах на 01.10.2023 – 1 лист</t>
  </si>
  <si>
    <t>Справка об остатках денежных средств на  расчетных счетах по состоянию на 01.10.2023 № 1 от 02.10.2023г.</t>
  </si>
  <si>
    <t xml:space="preserve">по состоянию за 4 квартал 2023 года на 01 января 2024 года </t>
  </si>
  <si>
    <t>09 января 2024г.</t>
  </si>
  <si>
    <t>Справка об остатках денежных средств на  расчетных счетах по состоянию на 01.01.2024 № 3 от 03.01.2024г.</t>
  </si>
  <si>
    <t>1. Справка ПАО «Сбербанк» от 01.01.24 № 001 об остатках денежных средств на специальных счетах на 01.01.2024 – 1 лист</t>
  </si>
  <si>
    <t>1. Выписка по лицевому счету 40705810766150000012 на 31.12.2023 года - 1 лист</t>
  </si>
  <si>
    <t xml:space="preserve">по состоянию за 1 квартал 2024 года на 01 апреля 2024 года </t>
  </si>
  <si>
    <t>05 апреля 2024г.</t>
  </si>
  <si>
    <t>1. Справка ПАО «Сбербанк» от 01.04.24 № 001 об остатках денежных средств на специальных счетах на 01.04.2024 – 1 лист</t>
  </si>
  <si>
    <t>1. Выписка по лицевому счету 40705810766150000012 на 31.03.2024 года - 1 лист</t>
  </si>
  <si>
    <t>Справка об остатках денежных средств на  расчетных счетах по состоянию на 31.03.2024 № 5 от 05.04.2024г.</t>
  </si>
  <si>
    <t xml:space="preserve">по состоянию за 2 квартал 2024 года на 01 июля 2024 года </t>
  </si>
  <si>
    <t>04 июля 2024г.</t>
  </si>
  <si>
    <t>ошибка</t>
  </si>
  <si>
    <t>Справка об остатках денежных средств на  расчетных счетах по состоянию на 30.06.2024 № 7 от 02.07.2024г.</t>
  </si>
  <si>
    <t>комиссия</t>
  </si>
  <si>
    <t>1. Справка ПАО «Сбербанк» от 02.07.24 № 001 об остатках денежных средств на специальных счетах на 30.06.2024 – 1 лист</t>
  </si>
  <si>
    <t>1. Выписка по лицевому счету 40705810766150000012 на 30.06.2024 года - 1 лист</t>
  </si>
  <si>
    <t>04 октября 2024г.</t>
  </si>
  <si>
    <t xml:space="preserve">по состоянию за 3 квартал 2024 года на 01 октября 2024 года </t>
  </si>
  <si>
    <t>Справка об остатках денежных средств на  расчетных счетах по состоянию на 30.09.2024 № 8 от 03.10.2024г.</t>
  </si>
  <si>
    <t>Предоплата (30% о цены договора) на выполнение работ по капитальному ремонту кровли МКД № 11/6 ул. Лыткина по договору № Л11/6 от 22.08.2024 (Протокол № 1 от 16.07.2024г.)</t>
  </si>
  <si>
    <t>Предоплата (30% о цены договора) на выполнение работ по капремонту кровли МКД № 11/7 ул. Лыткина по договору № Л11/7 от 22.08.2024 (Протокол № 1 от 16.07.2024г.)</t>
  </si>
  <si>
    <t>1. Выписка по лицевому счету 40705810766150000012 на 30.09.2024 года - 1 лист</t>
  </si>
  <si>
    <t>5. Протокол общего собрания собственников от 16.07.2024 № 1  -2 л.</t>
  </si>
  <si>
    <t>1. Справка ПАО «Сбербанк» от 03.10.24 № 5 об остатках денежных средств на специальных счетах на 30.09.2024 – 1 л.</t>
  </si>
  <si>
    <t>2. ПП № 382 от 23.08.2024 (предоплата 30 % на выполнение работ)- 1 л.</t>
  </si>
  <si>
    <t>3. Счет № 25 от 22.08.2024- 1 л.</t>
  </si>
  <si>
    <t>4. Договор № Л11/7 на выполнение работ по капитальному ремонту кровли от 22.08.2024 - 7 л.</t>
  </si>
  <si>
    <t xml:space="preserve">по состоянию за 4 квартал 2024 года на 01 января 2025 года </t>
  </si>
  <si>
    <t>06 января 2024г.</t>
  </si>
  <si>
    <t>Частичная оплата за выполненные работы по капремонту кровли МКД № 11/7 ул. Лыткина по договору № Л11/7 от 22.08.2024 (Протокол № 1 от 16.07.2024г.)</t>
  </si>
  <si>
    <t>Частичная оплата за выполненные работы по капитальному ремонту кровли МКД № 11/6 ул. Лыткина по договору № Л11/6 от 22.08.2024 (Протокол № 1 от 16.07.2024г.)</t>
  </si>
  <si>
    <t>1. Справка ПАО «Сбербанк» от 05.01.2025 № 6 об остатках денежных средств на специальных счетах на 01.01.2025 – 1 л.</t>
  </si>
  <si>
    <t>2. Акт о приемке выполненных работ № 1 от 18.11.2024- 3 л.</t>
  </si>
  <si>
    <t>3. ПП № 577 от 13.12.2024 (частичная оплата за выполненнные работы)- 1 л.</t>
  </si>
  <si>
    <t>4. ПП № 619 от 28.12.2024 (частичная оплата за выполненнные работы)- 1 л.</t>
  </si>
  <si>
    <t>5. Счет № 37 от 29.11.2024- 1 л.</t>
  </si>
  <si>
    <t>6. Договор № Л11/6 на выполнение работ по капитальному ремонту кровли от 22.08.2024 - 7 л.</t>
  </si>
  <si>
    <t>7. Протокол общего собрания собственников от 16.07.2024 № 1  -2 л.</t>
  </si>
  <si>
    <t>Справка об остатках денежных средств на  расчетных счетах по состоянию на 01.01.2025 № 10 от 05.01.2025г.</t>
  </si>
  <si>
    <t>1. Выписка по лицевому счету 40705810766150000012 на 01.01.2025 года - 1 лист</t>
  </si>
  <si>
    <t xml:space="preserve">по состоянию за 1 квартал 2025 года на 01 апреля 2025 года </t>
  </si>
  <si>
    <t>1. Выписка по лицевому счету 40705810766150000012 на 31.03.2025 года - 1 лист</t>
  </si>
  <si>
    <t>1. Справка ПАО «Сбербанк» от 03.04.2025 № 8 об остатках денежных средств на специальных счетах на 31.03.2025 – 1 л.</t>
  </si>
  <si>
    <t>04 апреля 2025г.</t>
  </si>
  <si>
    <t>6. Протокол общего собрания собственников от 16.07.2024 № 1  -2 л.</t>
  </si>
  <si>
    <t>2. Акт о приемке выполненных работ № 1 от 01.12.2024- 3 л.</t>
  </si>
  <si>
    <t>3. ПП № 103 от 26.02.2024 (частичная оплата за выполненнные работы)- 1 л.</t>
  </si>
  <si>
    <t>4. Счет № 38 от 04.12.2024- 1 л.</t>
  </si>
  <si>
    <t>5. Договор № Л11/7 на выполнение работ по капитальному ремонту кровли от 22.08.2024 - 7 л.</t>
  </si>
  <si>
    <t>Справка об остатках денежных средств на  расчетных счетах по состоянию на 31.03.2025 № 12 от 03.04.2025г.</t>
  </si>
  <si>
    <t xml:space="preserve">по состоянию за 2 квартал 2025 года на 01 июля 2025 года </t>
  </si>
  <si>
    <t>02 июля 2025г.</t>
  </si>
  <si>
    <t>1. Справка ПАО «Сбербанк» от 01.07.2025 № 11 об остатках денежных средств на специальных счетах на 30.06.2025 – 1 л.</t>
  </si>
  <si>
    <t>Окончательная оплата за выполненные работы по капремонту кровли МКД № 11/7 ул. Лыткина по договору № Л11/7 от 22.08.2024 (Протокол № 1 от 16.07.2024г.)</t>
  </si>
  <si>
    <t>3. ПП № 204 от 10.04.2025 (частичная оплата за выполненнные работы)- 1 л.</t>
  </si>
  <si>
    <t>4. ПП № 241 от 30.04.2025 (частичная оплата за выполненнные работы)- 1 л.</t>
  </si>
  <si>
    <t>5. ПП № 366 от 27.06.2025 (частичная оплата за выполненнные работы)- 1 л.</t>
  </si>
  <si>
    <t>6. Счет № 37 от 29.11.2024- 1 л.</t>
  </si>
  <si>
    <t>8. Протокол общего собрания собственников от 16.07.2024 № 1  -2 л.</t>
  </si>
  <si>
    <t>7. Договор № Л11/6 на выполнение работ по капитальному ремонту кровли от 22.08.2024 - 7 л.</t>
  </si>
  <si>
    <t>1. Выписка по лицевому счету 40705810766150000012 на 30.06.2025 года - 1 лист</t>
  </si>
  <si>
    <t>Справка об остатках денежных средств на  расчетных счетах по состоянию на 30.06.2025 № 13 от 01.07.2025г.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</si>
</sst>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7">
    <font>
      <sz val="11"/>
      <color theme="1"/>
      <name val="Calibri"/>
      <family val="2"/>
      <charset val="204"/>
      <scheme val="minor"/>
    </font>
    <font>
      <sz val="10"/>
      <color rgb="FF00000A"/>
      <name val="Times New Roman"/>
      <family val="1"/>
      <charset val="204"/>
    </font>
    <font>
      <sz val="8.5"/>
      <color rgb="FF00000A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8"/>
      <color rgb="FF00000A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0A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rgb="FF00000A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6"/>
      <color rgb="FF00000A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000A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5" fillId="0" borderId="0"/>
    <xf numFmtId="0" fontId="35" fillId="0" borderId="0"/>
  </cellStyleXfs>
  <cellXfs count="229">
    <xf numFmtId="0" fontId="0" fillId="0" borderId="0" xfId="0"/>
    <xf numFmtId="0" fontId="1" fillId="0" borderId="0" xfId="0" applyFont="1"/>
    <xf numFmtId="0" fontId="4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17" fontId="9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4" fontId="10" fillId="0" borderId="0" xfId="0" applyNumberFormat="1" applyFont="1" applyAlignment="1">
      <alignment vertical="center"/>
    </xf>
    <xf numFmtId="4" fontId="4" fillId="2" borderId="2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top" wrapText="1"/>
    </xf>
    <xf numFmtId="4" fontId="13" fillId="0" borderId="0" xfId="0" applyNumberFormat="1" applyFont="1"/>
    <xf numFmtId="0" fontId="15" fillId="0" borderId="0" xfId="0" applyFont="1"/>
    <xf numFmtId="4" fontId="15" fillId="0" borderId="0" xfId="0" applyNumberFormat="1" applyFont="1"/>
    <xf numFmtId="17" fontId="6" fillId="2" borderId="2" xfId="0" applyNumberFormat="1" applyFont="1" applyFill="1" applyBorder="1" applyAlignment="1">
      <alignment horizontal="center" vertical="top" wrapText="1"/>
    </xf>
    <xf numFmtId="0" fontId="9" fillId="0" borderId="0" xfId="0" applyFont="1"/>
    <xf numFmtId="14" fontId="6" fillId="2" borderId="2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17" fontId="18" fillId="2" borderId="2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4" fontId="18" fillId="2" borderId="2" xfId="0" applyNumberFormat="1" applyFont="1" applyFill="1" applyBorder="1" applyAlignment="1">
      <alignment horizontal="center" vertical="top" wrapText="1"/>
    </xf>
    <xf numFmtId="4" fontId="10" fillId="0" borderId="0" xfId="0" applyNumberFormat="1" applyFont="1"/>
    <xf numFmtId="0" fontId="20" fillId="0" borderId="0" xfId="0" applyFont="1"/>
    <xf numFmtId="4" fontId="20" fillId="0" borderId="0" xfId="0" applyNumberFormat="1" applyFont="1"/>
    <xf numFmtId="2" fontId="18" fillId="2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14" fontId="18" fillId="2" borderId="2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2" fontId="21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3" borderId="0" xfId="0" applyNumberFormat="1" applyFont="1" applyFill="1" applyAlignment="1">
      <alignment vertical="center"/>
    </xf>
    <xf numFmtId="0" fontId="23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top" wrapText="1"/>
    </xf>
    <xf numFmtId="0" fontId="11" fillId="0" borderId="2" xfId="0" applyFont="1" applyBorder="1"/>
    <xf numFmtId="4" fontId="11" fillId="0" borderId="0" xfId="0" applyNumberFormat="1" applyFont="1"/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18" fillId="2" borderId="4" xfId="0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4" fontId="18" fillId="2" borderId="2" xfId="0" applyNumberFormat="1" applyFont="1" applyFill="1" applyBorder="1" applyAlignment="1">
      <alignment horizontal="center" vertical="top" wrapText="1"/>
    </xf>
    <xf numFmtId="2" fontId="21" fillId="0" borderId="4" xfId="0" applyNumberFormat="1" applyFont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vertical="center"/>
    </xf>
    <xf numFmtId="14" fontId="18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19" fillId="2" borderId="8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left" vertical="center" wrapText="1"/>
    </xf>
    <xf numFmtId="2" fontId="29" fillId="0" borderId="2" xfId="0" applyNumberFormat="1" applyFont="1" applyBorder="1" applyAlignment="1">
      <alignment horizontal="center" vertical="center"/>
    </xf>
    <xf numFmtId="14" fontId="28" fillId="2" borderId="4" xfId="0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left" vertical="center" wrapText="1"/>
    </xf>
    <xf numFmtId="4" fontId="28" fillId="2" borderId="4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top" wrapText="1"/>
    </xf>
    <xf numFmtId="0" fontId="18" fillId="0" borderId="0" xfId="0" applyFont="1"/>
    <xf numFmtId="0" fontId="28" fillId="2" borderId="2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4" fontId="33" fillId="0" borderId="0" xfId="0" applyNumberFormat="1" applyFont="1" applyAlignment="1">
      <alignment vertical="center"/>
    </xf>
    <xf numFmtId="164" fontId="28" fillId="2" borderId="2" xfId="0" applyNumberFormat="1" applyFont="1" applyFill="1" applyBorder="1" applyAlignment="1">
      <alignment horizontal="center" vertical="center" wrapText="1"/>
    </xf>
    <xf numFmtId="164" fontId="28" fillId="2" borderId="2" xfId="0" applyNumberFormat="1" applyFont="1" applyFill="1" applyBorder="1" applyAlignment="1">
      <alignment horizontal="center" vertical="top" wrapText="1"/>
    </xf>
    <xf numFmtId="0" fontId="28" fillId="0" borderId="0" xfId="0" applyFont="1"/>
    <xf numFmtId="0" fontId="28" fillId="2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vertical="top" wrapText="1"/>
    </xf>
    <xf numFmtId="0" fontId="28" fillId="0" borderId="2" xfId="0" applyFont="1" applyBorder="1"/>
    <xf numFmtId="2" fontId="0" fillId="0" borderId="0" xfId="0" applyNumberFormat="1"/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8" fillId="2" borderId="2" xfId="0" applyFont="1" applyFill="1" applyBorder="1" applyAlignment="1">
      <alignment horizontal="left" vertical="center" wrapText="1"/>
    </xf>
    <xf numFmtId="2" fontId="0" fillId="0" borderId="2" xfId="0" applyNumberFormat="1" applyBorder="1" applyAlignment="1">
      <alignment vertical="center"/>
    </xf>
    <xf numFmtId="4" fontId="18" fillId="4" borderId="2" xfId="0" applyNumberFormat="1" applyFont="1" applyFill="1" applyBorder="1" applyAlignment="1">
      <alignment horizontal="center" vertical="center" wrapText="1"/>
    </xf>
    <xf numFmtId="4" fontId="18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26" fillId="2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19" fillId="2" borderId="0" xfId="0" applyNumberFormat="1" applyFont="1" applyFill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/>
    <xf numFmtId="0" fontId="9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8" fillId="4" borderId="5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4" fontId="26" fillId="4" borderId="2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horizontal="center" vertical="center" wrapText="1"/>
    </xf>
    <xf numFmtId="14" fontId="6" fillId="0" borderId="0" xfId="0" applyNumberFormat="1" applyFont="1"/>
    <xf numFmtId="4" fontId="36" fillId="0" borderId="9" xfId="1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4" fontId="36" fillId="0" borderId="9" xfId="1" applyNumberFormat="1" applyFont="1" applyBorder="1" applyAlignment="1">
      <alignment horizontal="right" vertical="top" wrapText="1"/>
    </xf>
    <xf numFmtId="4" fontId="36" fillId="0" borderId="9" xfId="1" applyNumberFormat="1" applyFont="1" applyBorder="1" applyAlignment="1">
      <alignment horizontal="right" vertical="center" wrapText="1"/>
    </xf>
    <xf numFmtId="4" fontId="36" fillId="0" borderId="9" xfId="2" applyNumberFormat="1" applyFont="1" applyBorder="1" applyAlignment="1">
      <alignment horizontal="right" vertical="center"/>
    </xf>
    <xf numFmtId="0" fontId="36" fillId="0" borderId="9" xfId="2" applyNumberFormat="1" applyFont="1" applyBorder="1" applyAlignment="1">
      <alignment horizontal="right" vertical="center"/>
    </xf>
    <xf numFmtId="2" fontId="36" fillId="0" borderId="9" xfId="2" applyNumberFormat="1" applyFont="1" applyBorder="1" applyAlignment="1">
      <alignment horizontal="right" vertical="center"/>
    </xf>
    <xf numFmtId="0" fontId="18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4" fontId="18" fillId="2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18" fillId="0" borderId="0" xfId="0" applyFont="1" applyAlignment="1"/>
    <xf numFmtId="4" fontId="25" fillId="4" borderId="5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4" fontId="18" fillId="2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4" fontId="18" fillId="2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4" fontId="18" fillId="2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4" fontId="18" fillId="2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4" fontId="28" fillId="2" borderId="3" xfId="0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center" vertical="center" wrapText="1"/>
    </xf>
    <xf numFmtId="4" fontId="28" fillId="2" borderId="5" xfId="0" applyNumberFormat="1" applyFont="1" applyFill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ТСЖ 1 кв.2024г." xfId="1"/>
    <cellStyle name="Обычный_УК 1 кв. 2024г.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workbookViewId="0">
      <selection activeCell="O10" sqref="O10"/>
    </sheetView>
  </sheetViews>
  <sheetFormatPr defaultRowHeight="15"/>
  <cols>
    <col min="6" max="6" width="10.85546875" customWidth="1"/>
    <col min="7" max="7" width="10.5703125" customWidth="1"/>
    <col min="8" max="8" width="10.42578125" customWidth="1"/>
  </cols>
  <sheetData>
    <row r="1" spans="1:13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5.75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5.75">
      <c r="A3" s="158" t="s">
        <v>151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3"/>
    </row>
    <row r="4" spans="1:13" ht="21.75" customHeight="1">
      <c r="A4" s="160" t="s">
        <v>10</v>
      </c>
      <c r="B4" s="163" t="s">
        <v>12</v>
      </c>
      <c r="C4" s="163" t="s">
        <v>15</v>
      </c>
      <c r="D4" s="163" t="s">
        <v>16</v>
      </c>
      <c r="E4" s="169" t="s">
        <v>17</v>
      </c>
      <c r="F4" s="169"/>
      <c r="G4" s="169" t="s">
        <v>18</v>
      </c>
      <c r="H4" s="169"/>
      <c r="I4" s="169" t="s">
        <v>19</v>
      </c>
      <c r="J4" s="169"/>
      <c r="K4" s="169"/>
      <c r="L4" s="169" t="s">
        <v>20</v>
      </c>
      <c r="M4" s="166" t="s">
        <v>102</v>
      </c>
    </row>
    <row r="5" spans="1:13" ht="15" customHeight="1">
      <c r="A5" s="161"/>
      <c r="B5" s="164"/>
      <c r="C5" s="164"/>
      <c r="D5" s="164"/>
      <c r="E5" s="169" t="s">
        <v>21</v>
      </c>
      <c r="F5" s="169" t="s">
        <v>22</v>
      </c>
      <c r="G5" s="169" t="s">
        <v>23</v>
      </c>
      <c r="H5" s="169" t="s">
        <v>24</v>
      </c>
      <c r="I5" s="169" t="s">
        <v>25</v>
      </c>
      <c r="J5" s="169" t="s">
        <v>26</v>
      </c>
      <c r="K5" s="169" t="s">
        <v>27</v>
      </c>
      <c r="L5" s="169"/>
      <c r="M5" s="167"/>
    </row>
    <row r="6" spans="1:13" ht="24" customHeight="1">
      <c r="A6" s="162"/>
      <c r="B6" s="165"/>
      <c r="C6" s="165"/>
      <c r="D6" s="165"/>
      <c r="E6" s="169"/>
      <c r="F6" s="169"/>
      <c r="G6" s="169"/>
      <c r="H6" s="169"/>
      <c r="I6" s="169"/>
      <c r="J6" s="169"/>
      <c r="K6" s="169"/>
      <c r="L6" s="169"/>
      <c r="M6" s="168"/>
    </row>
    <row r="7" spans="1:13" ht="78.75">
      <c r="A7" s="32">
        <v>1</v>
      </c>
      <c r="B7" s="79" t="s">
        <v>189</v>
      </c>
      <c r="C7" s="80">
        <v>4750.3</v>
      </c>
      <c r="D7" s="79">
        <v>5.3</v>
      </c>
      <c r="E7" s="80">
        <v>387294.63</v>
      </c>
      <c r="F7" s="80">
        <v>78787.349999999991</v>
      </c>
      <c r="G7" s="80">
        <v>1403710.4100000001</v>
      </c>
      <c r="H7" s="80">
        <v>1095203.1300000001</v>
      </c>
      <c r="I7" s="81"/>
      <c r="J7" s="82" t="s">
        <v>190</v>
      </c>
      <c r="K7" s="80">
        <v>235450.05</v>
      </c>
      <c r="L7" s="80">
        <v>859753.08000000007</v>
      </c>
      <c r="M7" s="83">
        <v>78.022013814088623</v>
      </c>
    </row>
    <row r="8" spans="1:13" ht="78.75">
      <c r="A8" s="180">
        <v>1</v>
      </c>
      <c r="B8" s="181" t="s">
        <v>191</v>
      </c>
      <c r="C8" s="178">
        <v>1908.8</v>
      </c>
      <c r="D8" s="181">
        <v>5.3</v>
      </c>
      <c r="E8" s="178">
        <v>61889.99</v>
      </c>
      <c r="F8" s="178">
        <v>38801.919999999998</v>
      </c>
      <c r="G8" s="176">
        <v>583913.36</v>
      </c>
      <c r="H8" s="176">
        <v>560825.29</v>
      </c>
      <c r="I8" s="84">
        <v>43738</v>
      </c>
      <c r="J8" s="85" t="s">
        <v>192</v>
      </c>
      <c r="K8" s="86">
        <v>57252.17</v>
      </c>
      <c r="L8" s="178">
        <v>393673.12000000005</v>
      </c>
      <c r="M8" s="179">
        <v>96.045976752441504</v>
      </c>
    </row>
    <row r="9" spans="1:13" ht="90">
      <c r="A9" s="173"/>
      <c r="B9" s="175"/>
      <c r="C9" s="177"/>
      <c r="D9" s="175"/>
      <c r="E9" s="177"/>
      <c r="F9" s="177"/>
      <c r="G9" s="177"/>
      <c r="H9" s="177"/>
      <c r="I9" s="81">
        <v>43824</v>
      </c>
      <c r="J9" s="82" t="s">
        <v>193</v>
      </c>
      <c r="K9" s="80">
        <v>109900</v>
      </c>
      <c r="L9" s="177"/>
      <c r="M9" s="171"/>
    </row>
    <row r="10" spans="1:13" ht="56.25">
      <c r="A10" s="32">
        <v>1</v>
      </c>
      <c r="B10" s="79" t="s">
        <v>194</v>
      </c>
      <c r="C10" s="80">
        <v>1947.3</v>
      </c>
      <c r="D10" s="79">
        <v>5.3</v>
      </c>
      <c r="E10" s="80">
        <v>115638.95999999999</v>
      </c>
      <c r="F10" s="80">
        <v>41654.33</v>
      </c>
      <c r="G10" s="80">
        <v>152163.85999999999</v>
      </c>
      <c r="H10" s="80">
        <v>78179.23</v>
      </c>
      <c r="I10" s="81">
        <v>43770</v>
      </c>
      <c r="J10" s="82" t="s">
        <v>195</v>
      </c>
      <c r="K10" s="80">
        <v>15400</v>
      </c>
      <c r="L10" s="80">
        <v>62779.229999999996</v>
      </c>
      <c r="M10" s="83">
        <v>51.378316769829581</v>
      </c>
    </row>
    <row r="11" spans="1:13" ht="90">
      <c r="A11" s="60">
        <v>1</v>
      </c>
      <c r="B11" s="87" t="s">
        <v>196</v>
      </c>
      <c r="C11" s="86">
        <v>2983.5</v>
      </c>
      <c r="D11" s="87">
        <v>5.3</v>
      </c>
      <c r="E11" s="86">
        <v>252084.18</v>
      </c>
      <c r="F11" s="86">
        <v>43535.29</v>
      </c>
      <c r="G11" s="86">
        <v>488073.93</v>
      </c>
      <c r="H11" s="86">
        <v>279525.03999999998</v>
      </c>
      <c r="I11" s="84">
        <v>43799</v>
      </c>
      <c r="J11" s="85" t="s">
        <v>197</v>
      </c>
      <c r="K11" s="86">
        <v>219800</v>
      </c>
      <c r="L11" s="86">
        <v>59725.039999999979</v>
      </c>
      <c r="M11" s="88">
        <v>57.271044982877896</v>
      </c>
    </row>
    <row r="12" spans="1:13" ht="22.5">
      <c r="A12" s="32">
        <v>1</v>
      </c>
      <c r="B12" s="79" t="s">
        <v>198</v>
      </c>
      <c r="C12" s="80">
        <v>1699.9</v>
      </c>
      <c r="D12" s="79">
        <v>5.3</v>
      </c>
      <c r="E12" s="80">
        <v>131849.85</v>
      </c>
      <c r="F12" s="80">
        <v>46124.44</v>
      </c>
      <c r="G12" s="80">
        <v>339411.5</v>
      </c>
      <c r="H12" s="80">
        <v>253686.09000000003</v>
      </c>
      <c r="I12" s="81"/>
      <c r="J12" s="82"/>
      <c r="K12" s="80"/>
      <c r="L12" s="80">
        <v>253686.09000000003</v>
      </c>
      <c r="M12" s="83">
        <v>74.742927095870357</v>
      </c>
    </row>
    <row r="13" spans="1:13" ht="56.25">
      <c r="A13" s="172">
        <v>1</v>
      </c>
      <c r="B13" s="174" t="s">
        <v>199</v>
      </c>
      <c r="C13" s="176">
        <v>1189</v>
      </c>
      <c r="D13" s="174">
        <v>5.3</v>
      </c>
      <c r="E13" s="176">
        <v>112130.41999999998</v>
      </c>
      <c r="F13" s="176">
        <v>25436.240000000002</v>
      </c>
      <c r="G13" s="176">
        <v>493857.45</v>
      </c>
      <c r="H13" s="176">
        <v>261226.68</v>
      </c>
      <c r="I13" s="81">
        <v>43738</v>
      </c>
      <c r="J13" s="82" t="s">
        <v>200</v>
      </c>
      <c r="K13" s="80">
        <v>47672.79</v>
      </c>
      <c r="L13" s="176">
        <v>103653.88999999998</v>
      </c>
      <c r="M13" s="170">
        <v>52.895158309346144</v>
      </c>
    </row>
    <row r="14" spans="1:13" ht="78.75">
      <c r="A14" s="173"/>
      <c r="B14" s="175"/>
      <c r="C14" s="177"/>
      <c r="D14" s="175"/>
      <c r="E14" s="177"/>
      <c r="F14" s="177"/>
      <c r="G14" s="177"/>
      <c r="H14" s="177"/>
      <c r="I14" s="81">
        <v>43824</v>
      </c>
      <c r="J14" s="82" t="s">
        <v>201</v>
      </c>
      <c r="K14" s="80">
        <v>109900</v>
      </c>
      <c r="L14" s="177"/>
      <c r="M14" s="171"/>
    </row>
    <row r="15" spans="1:13" ht="45">
      <c r="A15" s="32">
        <v>1</v>
      </c>
      <c r="B15" s="79" t="s">
        <v>202</v>
      </c>
      <c r="C15" s="80">
        <v>2428.02</v>
      </c>
      <c r="D15" s="79">
        <v>5.3</v>
      </c>
      <c r="E15" s="80">
        <v>131686.55000000002</v>
      </c>
      <c r="F15" s="80">
        <v>50418.36</v>
      </c>
      <c r="G15" s="80">
        <v>807228.46000000008</v>
      </c>
      <c r="H15" s="80">
        <v>725960.27</v>
      </c>
      <c r="I15" s="81"/>
      <c r="J15" s="80"/>
      <c r="K15" s="80"/>
      <c r="L15" s="80">
        <v>725960.27</v>
      </c>
      <c r="M15" s="83">
        <v>89.932442421566748</v>
      </c>
    </row>
    <row r="16" spans="1:13" ht="56.25">
      <c r="A16" s="32"/>
      <c r="B16" s="79" t="s">
        <v>203</v>
      </c>
      <c r="C16" s="79">
        <v>2085.9</v>
      </c>
      <c r="D16" s="79">
        <v>5.3</v>
      </c>
      <c r="E16" s="80">
        <v>84367.44</v>
      </c>
      <c r="F16" s="80">
        <v>68399.990000000005</v>
      </c>
      <c r="G16" s="80">
        <v>572975.74</v>
      </c>
      <c r="H16" s="80">
        <v>557008.29</v>
      </c>
      <c r="I16" s="81">
        <v>43738</v>
      </c>
      <c r="J16" s="82" t="s">
        <v>204</v>
      </c>
      <c r="K16" s="80">
        <v>123404.03</v>
      </c>
      <c r="L16" s="80">
        <v>433604.26</v>
      </c>
      <c r="M16" s="83">
        <v>97.21324152397797</v>
      </c>
    </row>
    <row r="17" spans="1:13" ht="22.5">
      <c r="A17" s="32"/>
      <c r="B17" s="79" t="s">
        <v>205</v>
      </c>
      <c r="C17" s="80">
        <v>2087.9</v>
      </c>
      <c r="D17" s="79">
        <v>5.3</v>
      </c>
      <c r="E17" s="80">
        <v>106078.34</v>
      </c>
      <c r="F17" s="80">
        <v>48500.06</v>
      </c>
      <c r="G17" s="80">
        <v>463162.24</v>
      </c>
      <c r="H17" s="80">
        <v>405583.96</v>
      </c>
      <c r="I17" s="81"/>
      <c r="J17" s="82"/>
      <c r="K17" s="80"/>
      <c r="L17" s="80">
        <v>405583.96</v>
      </c>
      <c r="M17" s="83">
        <v>87.56844253970273</v>
      </c>
    </row>
    <row r="18" spans="1:13" ht="22.5">
      <c r="A18" s="60">
        <v>1</v>
      </c>
      <c r="B18" s="87" t="s">
        <v>206</v>
      </c>
      <c r="C18" s="86">
        <v>2823.8</v>
      </c>
      <c r="D18" s="87">
        <v>5.3</v>
      </c>
      <c r="E18" s="86">
        <v>153703.03</v>
      </c>
      <c r="F18" s="86">
        <v>49138.53</v>
      </c>
      <c r="G18" s="86">
        <v>821070.97</v>
      </c>
      <c r="H18" s="86">
        <v>716506.47</v>
      </c>
      <c r="I18" s="84"/>
      <c r="J18" s="86"/>
      <c r="K18" s="86"/>
      <c r="L18" s="86">
        <v>716506.47</v>
      </c>
      <c r="M18" s="88">
        <v>87.264864570720363</v>
      </c>
    </row>
    <row r="19" spans="1:13" ht="22.5">
      <c r="A19" s="32">
        <v>1</v>
      </c>
      <c r="B19" s="79" t="s">
        <v>207</v>
      </c>
      <c r="C19" s="80">
        <v>1135</v>
      </c>
      <c r="D19" s="79">
        <v>5.3</v>
      </c>
      <c r="E19" s="80">
        <v>55540.38</v>
      </c>
      <c r="F19" s="80">
        <v>38173.19</v>
      </c>
      <c r="G19" s="80">
        <v>130917.81</v>
      </c>
      <c r="H19" s="80">
        <v>113550.62000000001</v>
      </c>
      <c r="I19" s="81"/>
      <c r="J19" s="82"/>
      <c r="K19" s="80"/>
      <c r="L19" s="80">
        <v>113550.62000000001</v>
      </c>
      <c r="M19" s="83">
        <v>86.7342800799983</v>
      </c>
    </row>
    <row r="20" spans="1:13" ht="22.5">
      <c r="A20" s="32">
        <v>1</v>
      </c>
      <c r="B20" s="79" t="s">
        <v>208</v>
      </c>
      <c r="C20" s="80">
        <v>2119.3000000000002</v>
      </c>
      <c r="D20" s="79">
        <v>5.3</v>
      </c>
      <c r="E20" s="80">
        <v>151866.55000000002</v>
      </c>
      <c r="F20" s="80">
        <v>36622.980000000003</v>
      </c>
      <c r="G20" s="80">
        <v>254420.26</v>
      </c>
      <c r="H20" s="80">
        <v>139176.68999999997</v>
      </c>
      <c r="I20" s="81"/>
      <c r="J20" s="80"/>
      <c r="K20" s="80"/>
      <c r="L20" s="80">
        <v>139176.68999999997</v>
      </c>
      <c r="M20" s="83">
        <v>54.70346190197273</v>
      </c>
    </row>
    <row r="21" spans="1:13" ht="45">
      <c r="A21" s="32">
        <v>1</v>
      </c>
      <c r="B21" s="79" t="s">
        <v>209</v>
      </c>
      <c r="C21" s="80">
        <v>2094.4</v>
      </c>
      <c r="D21" s="79">
        <v>5.3</v>
      </c>
      <c r="E21" s="80">
        <v>110497.16</v>
      </c>
      <c r="F21" s="80">
        <v>26205.88</v>
      </c>
      <c r="G21" s="80">
        <v>242370.46000000002</v>
      </c>
      <c r="H21" s="80">
        <v>158079.18000000002</v>
      </c>
      <c r="I21" s="81">
        <v>43770</v>
      </c>
      <c r="J21" s="82" t="s">
        <v>210</v>
      </c>
      <c r="K21" s="80">
        <v>15400</v>
      </c>
      <c r="L21" s="80">
        <v>142679.18000000002</v>
      </c>
      <c r="M21" s="83">
        <v>65.222131442915938</v>
      </c>
    </row>
    <row r="22" spans="1:13" ht="22.5">
      <c r="A22" s="32">
        <v>1</v>
      </c>
      <c r="B22" s="79" t="s">
        <v>211</v>
      </c>
      <c r="C22" s="80">
        <v>3225.6</v>
      </c>
      <c r="D22" s="79">
        <v>5.3</v>
      </c>
      <c r="E22" s="80">
        <v>285063.08</v>
      </c>
      <c r="F22" s="80">
        <v>83825.19</v>
      </c>
      <c r="G22" s="80">
        <v>531421.17000000004</v>
      </c>
      <c r="H22" s="80">
        <v>330183.28000000003</v>
      </c>
      <c r="I22" s="81"/>
      <c r="J22" s="80"/>
      <c r="K22" s="80"/>
      <c r="L22" s="80">
        <v>330183.28000000003</v>
      </c>
      <c r="M22" s="83">
        <v>62.132127705789365</v>
      </c>
    </row>
    <row r="23" spans="1:13" ht="33.75">
      <c r="A23" s="32">
        <v>1</v>
      </c>
      <c r="B23" s="79" t="s">
        <v>212</v>
      </c>
      <c r="C23" s="80">
        <v>2135.5</v>
      </c>
      <c r="D23" s="79">
        <v>5.3</v>
      </c>
      <c r="E23" s="80">
        <v>74379.16</v>
      </c>
      <c r="F23" s="80">
        <v>23241.79</v>
      </c>
      <c r="G23" s="80">
        <v>104120.35000000003</v>
      </c>
      <c r="H23" s="80">
        <v>52982.980000000032</v>
      </c>
      <c r="I23" s="81"/>
      <c r="J23" s="82"/>
      <c r="K23" s="80"/>
      <c r="L23" s="80">
        <v>52982.980000000032</v>
      </c>
      <c r="M23" s="83">
        <v>50.886286878597708</v>
      </c>
    </row>
  </sheetData>
  <mergeCells count="39">
    <mergeCell ref="E8:E9"/>
    <mergeCell ref="F8:F9"/>
    <mergeCell ref="C4:C6"/>
    <mergeCell ref="D4:D6"/>
    <mergeCell ref="B8:B9"/>
    <mergeCell ref="C8:C9"/>
    <mergeCell ref="D8:D9"/>
    <mergeCell ref="I4:K4"/>
    <mergeCell ref="M13:M14"/>
    <mergeCell ref="A13:A14"/>
    <mergeCell ref="B13:B14"/>
    <mergeCell ref="C13:C14"/>
    <mergeCell ref="D13:D14"/>
    <mergeCell ref="E13:E14"/>
    <mergeCell ref="F13:F14"/>
    <mergeCell ref="G13:G14"/>
    <mergeCell ref="H13:H14"/>
    <mergeCell ref="L13:L14"/>
    <mergeCell ref="G8:G9"/>
    <mergeCell ref="H8:H9"/>
    <mergeCell ref="L8:L9"/>
    <mergeCell ref="M8:M9"/>
    <mergeCell ref="A8:A9"/>
    <mergeCell ref="A3:L3"/>
    <mergeCell ref="A1:M1"/>
    <mergeCell ref="A2:M2"/>
    <mergeCell ref="A4:A6"/>
    <mergeCell ref="B4:B6"/>
    <mergeCell ref="M4:M6"/>
    <mergeCell ref="E5:E6"/>
    <mergeCell ref="F5:F6"/>
    <mergeCell ref="G5:G6"/>
    <mergeCell ref="H5:H6"/>
    <mergeCell ref="I5:I6"/>
    <mergeCell ref="J5:J6"/>
    <mergeCell ref="K5:K6"/>
    <mergeCell ref="L4:L6"/>
    <mergeCell ref="E4:F4"/>
    <mergeCell ref="G4:H4"/>
  </mergeCells>
  <pageMargins left="0.31496062992125984" right="0.31496062992125984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D53"/>
  <sheetViews>
    <sheetView workbookViewId="0">
      <pane xSplit="3" ySplit="14" topLeftCell="I15" activePane="bottomRight" state="frozen"/>
      <selection activeCell="O10" sqref="O10"/>
      <selection pane="topRight" activeCell="O10" sqref="O10"/>
      <selection pane="bottomLeft" activeCell="O10" sqref="O10"/>
      <selection pane="bottomRight" activeCell="O10" sqref="O10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  <col min="28" max="28" width="9.7109375" bestFit="1" customWidth="1"/>
    <col min="30" max="30" width="11.28515625" customWidth="1"/>
  </cols>
  <sheetData>
    <row r="1" spans="1:30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30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30" s="13" customFormat="1" ht="15.75">
      <c r="A3" s="187" t="str">
        <f>'УК 2 кв. 2024г.'!A4:O4</f>
        <v xml:space="preserve">по состоянию за 2 квартал 2024 года на 01 июля 2024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30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30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30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30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30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30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30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30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30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30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  <c r="AB13" s="38" t="s">
        <v>451</v>
      </c>
    </row>
    <row r="14" spans="1:30" s="14" customFormat="1" ht="11.25" hidden="1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30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4752.7</v>
      </c>
      <c r="G15" s="32">
        <v>6.66</v>
      </c>
      <c r="H15" s="33">
        <f>'ТСЖ 1 кв.2024г.'!H15-'ТСЖ 1 кв.2024г.'!I15+X15+V15+W15</f>
        <v>496719.96600000001</v>
      </c>
      <c r="I15" s="33">
        <f>Z15+AA15+X15+AB15</f>
        <v>82164.959999999992</v>
      </c>
      <c r="J15" s="33">
        <f>'ТСЖ 1 кв.2024г.'!J15+Z15+AA15+X15</f>
        <v>3020280.1800000011</v>
      </c>
      <c r="K15" s="33">
        <f>'ТСЖ 1 кв.2024г.'!K15+'ТСЖ 2 кв.2024г.'!I15</f>
        <v>2741368.6799999997</v>
      </c>
      <c r="L15" s="43"/>
      <c r="M15" s="66"/>
      <c r="N15" s="33">
        <f>'ТСЖ 1 кв.2024г.'!N15</f>
        <v>426357.21</v>
      </c>
      <c r="O15" s="105">
        <f>K15-N15</f>
        <v>2315011.4699999997</v>
      </c>
      <c r="P15" s="74">
        <v>520817.08</v>
      </c>
      <c r="Q15" s="46">
        <f>K15/J15*100</f>
        <v>90.765376608205884</v>
      </c>
      <c r="S15" s="48">
        <f>J15-K15+16536.37</f>
        <v>295447.87000000139</v>
      </c>
      <c r="T15" s="48">
        <f>H15-I15</f>
        <v>414555.00600000005</v>
      </c>
      <c r="V15" s="42">
        <v>94958.91</v>
      </c>
      <c r="W15" s="42">
        <f>7479.51-22.03</f>
        <v>7457.4800000000005</v>
      </c>
      <c r="X15" s="48">
        <v>2827.98</v>
      </c>
      <c r="Y15" s="48"/>
      <c r="Z15" s="48">
        <v>78896.55</v>
      </c>
      <c r="AA15" s="48">
        <v>124.43</v>
      </c>
      <c r="AB15" s="49">
        <v>316</v>
      </c>
    </row>
    <row r="16" spans="1:30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6.66</v>
      </c>
      <c r="H16" s="33">
        <f>'ТСЖ 1 кв.2024г.'!H16-'ТСЖ 1 кв.2024г.'!I16+X16+V16+W16</f>
        <v>95592.38999999997</v>
      </c>
      <c r="I16" s="33">
        <f t="shared" ref="I16:I29" si="0">Z16+AA16+X16+AB16</f>
        <v>31279.040000000001</v>
      </c>
      <c r="J16" s="33">
        <f>'ТСЖ 1 кв.2024г.'!J16+Z16+AA16+X16</f>
        <v>1263581.4700000004</v>
      </c>
      <c r="K16" s="33">
        <f>'ТСЖ 1 кв.2024г.'!K16+'ТСЖ 2 кв.2024г.'!I16</f>
        <v>1178875.1200000001</v>
      </c>
      <c r="L16" s="43"/>
      <c r="M16" s="66"/>
      <c r="N16" s="33">
        <f>'ТСЖ 1 кв.2024г.'!N16</f>
        <v>221688.82</v>
      </c>
      <c r="O16" s="105">
        <f t="shared" ref="O16:O29" si="1">K16-N16</f>
        <v>957186.3</v>
      </c>
      <c r="P16" s="78">
        <v>264064.82</v>
      </c>
      <c r="Q16" s="46">
        <f>K16/J16*100</f>
        <v>93.29632856993382</v>
      </c>
      <c r="S16" s="48">
        <f t="shared" ref="S16:S29" si="2">J16-K16+X16</f>
        <v>84706.350000000326</v>
      </c>
      <c r="T16" s="48">
        <f t="shared" ref="T16:T29" si="3">H16-I16</f>
        <v>64313.349999999969</v>
      </c>
      <c r="V16" s="124">
        <v>38137.86</v>
      </c>
      <c r="W16" s="124">
        <v>1095.1500000000001</v>
      </c>
      <c r="X16" s="125"/>
      <c r="Y16" s="125"/>
      <c r="Z16" s="124">
        <v>31231.84</v>
      </c>
      <c r="AA16" s="124">
        <v>47.2</v>
      </c>
      <c r="AB16" s="48"/>
      <c r="AC16" s="49">
        <f>F16*G16*3</f>
        <v>38137.824000000001</v>
      </c>
      <c r="AD16" s="48">
        <f>V16-AC16</f>
        <v>3.6000000000058208E-2</v>
      </c>
    </row>
    <row r="17" spans="1:30" s="49" customFormat="1" ht="39.75" customHeight="1">
      <c r="A17" s="32">
        <v>1</v>
      </c>
      <c r="B17" s="132" t="s">
        <v>28</v>
      </c>
      <c r="C17" s="132" t="s">
        <v>402</v>
      </c>
      <c r="D17" s="132">
        <v>2002</v>
      </c>
      <c r="E17" s="132"/>
      <c r="F17" s="134">
        <v>1947.3</v>
      </c>
      <c r="G17" s="132">
        <v>6.66</v>
      </c>
      <c r="H17" s="33">
        <f>'ТСЖ 1 кв.2024г.'!H17-'ТСЖ 1 кв.2024г.'!I17+X17+V17+W17</f>
        <v>188738.16000000015</v>
      </c>
      <c r="I17" s="33">
        <f t="shared" si="0"/>
        <v>28075.14</v>
      </c>
      <c r="J17" s="33">
        <f>'ТСЖ 1 кв.2024г.'!J17+Z17+AA17+X17</f>
        <v>1252465.409999999</v>
      </c>
      <c r="K17" s="33">
        <f>'ТСЖ 1 кв.2024г.'!K17+'ТСЖ 2 кв.2024г.'!I17</f>
        <v>1108932.47</v>
      </c>
      <c r="L17" s="43"/>
      <c r="M17" s="66"/>
      <c r="N17" s="33">
        <f>'ТСЖ 1 кв.2024г.'!N17</f>
        <v>476040</v>
      </c>
      <c r="O17" s="121">
        <f t="shared" si="1"/>
        <v>632892.47</v>
      </c>
      <c r="P17" s="74">
        <v>253163.82</v>
      </c>
      <c r="Q17" s="135">
        <f>K17/J17*100</f>
        <v>88.539967742502441</v>
      </c>
      <c r="S17" s="48">
        <f t="shared" si="2"/>
        <v>143532.93999999901</v>
      </c>
      <c r="T17" s="48">
        <f t="shared" si="3"/>
        <v>160663.02000000014</v>
      </c>
      <c r="V17" s="124">
        <v>27738.7</v>
      </c>
      <c r="W17" s="124">
        <v>-2133.5500000000002</v>
      </c>
      <c r="X17" s="125"/>
      <c r="Y17" s="125"/>
      <c r="Z17" s="124">
        <v>28284.47</v>
      </c>
      <c r="AA17" s="124">
        <v>90.67</v>
      </c>
      <c r="AB17" s="48">
        <v>-300</v>
      </c>
      <c r="AC17" s="49">
        <f t="shared" ref="AC17:AC29" si="4">F17*G17*3</f>
        <v>38907.054000000004</v>
      </c>
      <c r="AD17" s="48">
        <f t="shared" ref="AD17:AD29" si="5">V17-AC17</f>
        <v>-11168.354000000003</v>
      </c>
    </row>
    <row r="18" spans="1:30" s="49" customFormat="1" ht="63.75" customHeight="1" thickBot="1">
      <c r="A18" s="32">
        <v>1</v>
      </c>
      <c r="B18" s="132" t="s">
        <v>28</v>
      </c>
      <c r="C18" s="132" t="s">
        <v>403</v>
      </c>
      <c r="D18" s="132">
        <v>2003</v>
      </c>
      <c r="E18" s="132"/>
      <c r="F18" s="134">
        <v>2990</v>
      </c>
      <c r="G18" s="132">
        <v>6.66</v>
      </c>
      <c r="H18" s="33">
        <f>'ТСЖ 1 кв.2024г.'!H18-'ТСЖ 1 кв.2024г.'!I18+X18+V18+W18</f>
        <v>269977.40000000008</v>
      </c>
      <c r="I18" s="33">
        <f t="shared" si="0"/>
        <v>57276.91</v>
      </c>
      <c r="J18" s="33">
        <f>'ТСЖ 1 кв.2024г.'!J18+Z18+AA18+X18</f>
        <v>1895870.139999999</v>
      </c>
      <c r="K18" s="33">
        <f>'ТСЖ 1 кв.2024г.'!K18+'ТСЖ 2 кв.2024г.'!I18</f>
        <v>1746143.72</v>
      </c>
      <c r="L18" s="43"/>
      <c r="M18" s="66"/>
      <c r="N18" s="33">
        <f>'ТСЖ 1 кв.2024г.'!N18</f>
        <v>731630</v>
      </c>
      <c r="O18" s="121">
        <f t="shared" si="1"/>
        <v>1014513.72</v>
      </c>
      <c r="P18" s="44">
        <v>378042.71</v>
      </c>
      <c r="Q18" s="135">
        <f t="shared" ref="Q18:Q28" si="6">K18/J18*100</f>
        <v>92.102496007453382</v>
      </c>
      <c r="S18" s="48">
        <f t="shared" si="2"/>
        <v>149726.41999999899</v>
      </c>
      <c r="T18" s="48">
        <f t="shared" si="3"/>
        <v>212700.49000000008</v>
      </c>
      <c r="V18" s="124">
        <v>59740.32</v>
      </c>
      <c r="W18" s="124">
        <v>3572.72</v>
      </c>
      <c r="X18" s="125"/>
      <c r="Y18" s="125"/>
      <c r="Z18" s="124">
        <v>57199.51</v>
      </c>
      <c r="AA18" s="124">
        <v>77.400000000000006</v>
      </c>
      <c r="AB18" s="48"/>
      <c r="AC18" s="49">
        <f t="shared" si="4"/>
        <v>59740.200000000004</v>
      </c>
      <c r="AD18" s="48">
        <f t="shared" si="5"/>
        <v>0.11999999999534339</v>
      </c>
    </row>
    <row r="19" spans="1:30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6.66</v>
      </c>
      <c r="H19" s="33">
        <f>'ТСЖ 1 кв.2024г.'!H19-'ТСЖ 1 кв.2024г.'!I19+X19+V19+W19</f>
        <v>83074.850000000006</v>
      </c>
      <c r="I19" s="33">
        <f t="shared" si="0"/>
        <v>27951.85</v>
      </c>
      <c r="J19" s="33">
        <f>'ТСЖ 1 кв.2024г.'!J19+Z19+AA19+X19</f>
        <v>1193060.2500000002</v>
      </c>
      <c r="K19" s="33">
        <f>'ТСЖ 1 кв.2024г.'!K19+'ТСЖ 2 кв.2024г.'!I19</f>
        <v>1051019.1600000001</v>
      </c>
      <c r="L19" s="43"/>
      <c r="M19" s="66"/>
      <c r="N19" s="33">
        <f>'ТСЖ 1 кв.2024г.'!N19</f>
        <v>230810</v>
      </c>
      <c r="O19" s="121">
        <f t="shared" si="1"/>
        <v>820209.16000000015</v>
      </c>
      <c r="P19" s="44">
        <v>252978.03</v>
      </c>
      <c r="Q19" s="46">
        <f>K19/J19*100</f>
        <v>88.094390874224487</v>
      </c>
      <c r="S19" s="93">
        <f t="shared" si="2"/>
        <v>142041.09000000008</v>
      </c>
      <c r="T19" s="93">
        <f t="shared" si="3"/>
        <v>55123.000000000007</v>
      </c>
      <c r="V19" s="124">
        <v>33938.01</v>
      </c>
      <c r="W19" s="124">
        <v>976.26</v>
      </c>
      <c r="X19" s="126"/>
      <c r="Y19" s="126"/>
      <c r="Z19" s="124">
        <v>28841.87</v>
      </c>
      <c r="AA19" s="124">
        <v>21.11</v>
      </c>
      <c r="AB19" s="48">
        <v>-911.13</v>
      </c>
      <c r="AC19" s="49">
        <f t="shared" si="4"/>
        <v>33938.027999999998</v>
      </c>
      <c r="AD19" s="48">
        <f t="shared" si="5"/>
        <v>-1.7999999996391125E-2</v>
      </c>
    </row>
    <row r="20" spans="1:30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6.66</v>
      </c>
      <c r="H20" s="33">
        <f>'ТСЖ 1 кв.2024г.'!H20-'ТСЖ 1 кв.2024г.'!I20+X20+V20+W20</f>
        <v>84125.37</v>
      </c>
      <c r="I20" s="33">
        <f t="shared" si="0"/>
        <v>298.70000000000005</v>
      </c>
      <c r="J20" s="33">
        <f>'ТСЖ 1 кв.2024г.'!J20+Z20+AA20+X20</f>
        <v>727369.27999999991</v>
      </c>
      <c r="K20" s="33">
        <f>'ТСЖ 1 кв.2024г.'!K20+'ТСЖ 2 кв.2024г.'!I20</f>
        <v>690363.82999999984</v>
      </c>
      <c r="L20" s="43"/>
      <c r="M20" s="66"/>
      <c r="N20" s="33">
        <f>'ТСЖ 1 кв.2024г.'!N20</f>
        <v>208003.99</v>
      </c>
      <c r="O20" s="121">
        <f t="shared" si="1"/>
        <v>482359.83999999985</v>
      </c>
      <c r="P20" s="74">
        <v>124839.69</v>
      </c>
      <c r="Q20" s="46">
        <f t="shared" si="6"/>
        <v>94.912426051317425</v>
      </c>
      <c r="S20" s="93">
        <f t="shared" si="2"/>
        <v>37005.45000000007</v>
      </c>
      <c r="T20" s="93">
        <f t="shared" si="3"/>
        <v>83826.67</v>
      </c>
      <c r="V20" s="124">
        <v>23756.19</v>
      </c>
      <c r="W20" s="124">
        <v>1046.8599999999999</v>
      </c>
      <c r="X20" s="126"/>
      <c r="Y20" s="126"/>
      <c r="Z20" s="124">
        <v>1503.89</v>
      </c>
      <c r="AA20" s="124">
        <v>-1205.19</v>
      </c>
      <c r="AB20" s="48"/>
      <c r="AC20" s="49">
        <f t="shared" si="4"/>
        <v>23756.22</v>
      </c>
      <c r="AD20" s="48">
        <f t="shared" si="5"/>
        <v>-3.0000000002473826E-2</v>
      </c>
    </row>
    <row r="21" spans="1:30" s="92" customFormat="1" ht="52.5" customHeight="1" thickBot="1">
      <c r="A21" s="32">
        <v>1</v>
      </c>
      <c r="B21" s="132" t="s">
        <v>28</v>
      </c>
      <c r="C21" s="132" t="s">
        <v>391</v>
      </c>
      <c r="D21" s="132">
        <v>2012</v>
      </c>
      <c r="E21" s="132"/>
      <c r="F21" s="134">
        <v>2427.8000000000002</v>
      </c>
      <c r="G21" s="132">
        <v>6.66</v>
      </c>
      <c r="H21" s="33">
        <f>'ТСЖ 1 кв.2024г.'!H21-'ТСЖ 1 кв.2024г.'!I21+X21+V21+W21</f>
        <v>195718.71</v>
      </c>
      <c r="I21" s="33">
        <f t="shared" si="0"/>
        <v>55809.310000000005</v>
      </c>
      <c r="J21" s="33">
        <f>'ТСЖ 1 кв.2024г.'!J21+Z21+AA21+X21</f>
        <v>1533806.7199999997</v>
      </c>
      <c r="K21" s="33">
        <f>'ТСЖ 1 кв.2024г.'!K21+'ТСЖ 2 кв.2024г.'!I21</f>
        <v>1433869.98</v>
      </c>
      <c r="L21" s="43"/>
      <c r="M21" s="66"/>
      <c r="N21" s="33">
        <f>'ТСЖ 1 кв.2024г.'!N21</f>
        <v>0</v>
      </c>
      <c r="O21" s="121">
        <f t="shared" si="1"/>
        <v>1433869.98</v>
      </c>
      <c r="P21" s="44">
        <v>388089.32</v>
      </c>
      <c r="Q21" s="135">
        <f t="shared" si="6"/>
        <v>93.484398086350822</v>
      </c>
      <c r="S21" s="93">
        <f t="shared" si="2"/>
        <v>99936.739999999758</v>
      </c>
      <c r="T21" s="93">
        <f t="shared" si="3"/>
        <v>139909.4</v>
      </c>
      <c r="V21" s="124">
        <f>48507.39</f>
        <v>48507.39</v>
      </c>
      <c r="W21" s="124">
        <v>2100.96</v>
      </c>
      <c r="X21" s="126"/>
      <c r="Y21" s="126"/>
      <c r="Z21" s="124">
        <v>55796.62</v>
      </c>
      <c r="AA21" s="124">
        <v>12.69</v>
      </c>
      <c r="AB21" s="48"/>
      <c r="AC21" s="49">
        <f t="shared" si="4"/>
        <v>48507.444000000003</v>
      </c>
      <c r="AD21" s="48">
        <f t="shared" si="5"/>
        <v>-5.400000000372529E-2</v>
      </c>
    </row>
    <row r="22" spans="1:30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6.66</v>
      </c>
      <c r="H22" s="33">
        <f>'ТСЖ 1 кв.2024г.'!H22-'ТСЖ 1 кв.2024г.'!I22+X22+V22+W22</f>
        <v>100330.87000000005</v>
      </c>
      <c r="I22" s="33">
        <f t="shared" si="0"/>
        <v>38259.83</v>
      </c>
      <c r="J22" s="33">
        <f>'ТСЖ 1 кв.2024г.'!J22+Z22+AA22+X22</f>
        <v>1353118.0500000003</v>
      </c>
      <c r="K22" s="33">
        <f>'ТСЖ 1 кв.2024г.'!K22+'ТСЖ 2 кв.2024г.'!I22</f>
        <v>1291271.03</v>
      </c>
      <c r="L22" s="43"/>
      <c r="M22" s="66"/>
      <c r="N22" s="33">
        <f>'ТСЖ 1 кв.2024г.'!N22</f>
        <v>454457.47</v>
      </c>
      <c r="O22" s="121">
        <f t="shared" si="1"/>
        <v>836813.56</v>
      </c>
      <c r="P22" s="74">
        <v>223464.31</v>
      </c>
      <c r="Q22" s="46">
        <f>K22/J22*100</f>
        <v>95.42929606178852</v>
      </c>
      <c r="S22" s="93">
        <f t="shared" si="2"/>
        <v>61847.020000000251</v>
      </c>
      <c r="T22" s="93">
        <f t="shared" si="3"/>
        <v>62071.040000000052</v>
      </c>
      <c r="V22" s="124">
        <v>41516.519999999997</v>
      </c>
      <c r="W22" s="124">
        <v>1034.1300000000001</v>
      </c>
      <c r="X22" s="126"/>
      <c r="Y22" s="126"/>
      <c r="Z22" s="124">
        <v>38200.14</v>
      </c>
      <c r="AA22" s="124">
        <v>59.69</v>
      </c>
      <c r="AB22" s="48"/>
      <c r="AC22" s="49">
        <f t="shared" si="4"/>
        <v>41516.442000000003</v>
      </c>
      <c r="AD22" s="48">
        <f t="shared" si="5"/>
        <v>7.7999999994062819E-2</v>
      </c>
    </row>
    <row r="23" spans="1:30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6.66</v>
      </c>
      <c r="H23" s="33">
        <f>'ТСЖ 1 кв.2024г.'!H23-'ТСЖ 1 кв.2024г.'!I23+X23+V23+W23</f>
        <v>60542.040000000008</v>
      </c>
      <c r="I23" s="33">
        <f t="shared" si="0"/>
        <v>42045</v>
      </c>
      <c r="J23" s="33">
        <f>'ТСЖ 1 кв.2024г.'!J23+Z23+AA23+X23</f>
        <v>1331858.6399999997</v>
      </c>
      <c r="K23" s="33">
        <f>'ТСЖ 1 кв.2024г.'!K23+'ТСЖ 2 кв.2024г.'!I23</f>
        <v>1327923.1300000001</v>
      </c>
      <c r="L23" s="43"/>
      <c r="M23" s="66"/>
      <c r="N23" s="33">
        <f>'ТСЖ 1 кв.2024г.'!N23</f>
        <v>435700.47000000003</v>
      </c>
      <c r="O23" s="121">
        <f t="shared" si="1"/>
        <v>892222.66000000015</v>
      </c>
      <c r="P23" s="78">
        <v>243907.98</v>
      </c>
      <c r="Q23" s="46">
        <f t="shared" si="6"/>
        <v>99.704509932075098</v>
      </c>
      <c r="S23" s="93">
        <f t="shared" si="2"/>
        <v>3935.5099999995437</v>
      </c>
      <c r="T23" s="93">
        <f t="shared" si="3"/>
        <v>18497.040000000008</v>
      </c>
      <c r="V23" s="124">
        <v>41688.239999999998</v>
      </c>
      <c r="W23" s="124">
        <v>280.33</v>
      </c>
      <c r="X23" s="126"/>
      <c r="Y23" s="126"/>
      <c r="Z23" s="124">
        <v>40891.33</v>
      </c>
      <c r="AA23" s="124">
        <v>153.66999999999999</v>
      </c>
      <c r="AB23" s="48">
        <v>1000</v>
      </c>
      <c r="AC23" s="49">
        <f t="shared" si="4"/>
        <v>41688.270000000004</v>
      </c>
      <c r="AD23" s="48">
        <f t="shared" si="5"/>
        <v>-3.0000000006111804E-2</v>
      </c>
    </row>
    <row r="24" spans="1:30" s="92" customFormat="1" ht="30.75" thickBot="1">
      <c r="A24" s="32">
        <v>1</v>
      </c>
      <c r="B24" s="132" t="s">
        <v>28</v>
      </c>
      <c r="C24" s="132" t="s">
        <v>394</v>
      </c>
      <c r="D24" s="132">
        <v>1996</v>
      </c>
      <c r="E24" s="132"/>
      <c r="F24" s="134">
        <v>2824.4</v>
      </c>
      <c r="G24" s="132">
        <v>6.66</v>
      </c>
      <c r="H24" s="33">
        <f>'ТСЖ 1 кв.2024г.'!H24-'ТСЖ 1 кв.2024г.'!I24+X24+V24+W24</f>
        <v>287690.57</v>
      </c>
      <c r="I24" s="33">
        <f t="shared" si="0"/>
        <v>48537.01999999999</v>
      </c>
      <c r="J24" s="33">
        <f>'ТСЖ 1 кв.2024г.'!J24+Z24+AA24+X24</f>
        <v>1843896.0700000008</v>
      </c>
      <c r="K24" s="33">
        <f>'ТСЖ 1 кв.2024г.'!K24+'ТСЖ 2 кв.2024г.'!I24</f>
        <v>1633472.0100000002</v>
      </c>
      <c r="L24" s="43"/>
      <c r="M24" s="66"/>
      <c r="N24" s="33">
        <f>'ТСЖ 1 кв.2024г.'!N24</f>
        <v>124391</v>
      </c>
      <c r="O24" s="121">
        <f t="shared" si="1"/>
        <v>1509081.0100000002</v>
      </c>
      <c r="P24" s="44">
        <v>420551</v>
      </c>
      <c r="Q24" s="135">
        <f>K24/J24*100</f>
        <v>88.588073730207554</v>
      </c>
      <c r="S24" s="93">
        <f>J24-K24+3064.16</f>
        <v>213488.22000000053</v>
      </c>
      <c r="T24" s="93">
        <f t="shared" si="3"/>
        <v>239153.55000000002</v>
      </c>
      <c r="U24" s="128">
        <v>1771.81</v>
      </c>
      <c r="V24" s="124">
        <f>56431.5</f>
        <v>56431.5</v>
      </c>
      <c r="W24" s="124">
        <v>4188.0600000000004</v>
      </c>
      <c r="X24" s="126">
        <v>1847.79</v>
      </c>
      <c r="Y24" s="126"/>
      <c r="Z24" s="124">
        <v>71467.78</v>
      </c>
      <c r="AA24" s="124">
        <v>704.12</v>
      </c>
      <c r="AB24" s="48">
        <v>-25482.67</v>
      </c>
      <c r="AC24" s="49">
        <f t="shared" si="4"/>
        <v>56431.512000000002</v>
      </c>
      <c r="AD24" s="48">
        <f t="shared" si="5"/>
        <v>-1.2000000002444722E-2</v>
      </c>
    </row>
    <row r="25" spans="1:30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6.66</v>
      </c>
      <c r="H25" s="33">
        <f>'ТСЖ 1 кв.2024г.'!H25-'ТСЖ 1 кв.2024г.'!I25+X25+V25+W25</f>
        <v>64184.090000000004</v>
      </c>
      <c r="I25" s="33">
        <f t="shared" si="0"/>
        <v>18696.400000000001</v>
      </c>
      <c r="J25" s="33">
        <f>'ТСЖ 1 кв.2024г.'!J25+Z25+AA25+X25</f>
        <v>727397.63000000012</v>
      </c>
      <c r="K25" s="33">
        <f>'ТСЖ 1 кв.2024г.'!K25+'ТСЖ 2 кв.2024г.'!I25</f>
        <v>692456.77000000014</v>
      </c>
      <c r="L25" s="43"/>
      <c r="M25" s="66"/>
      <c r="N25" s="33">
        <f>'ТСЖ 1 кв.2024г.'!N25</f>
        <v>248930</v>
      </c>
      <c r="O25" s="121">
        <f t="shared" si="1"/>
        <v>443526.77000000014</v>
      </c>
      <c r="P25" s="44">
        <v>146097.04999999999</v>
      </c>
      <c r="Q25" s="46">
        <f t="shared" si="6"/>
        <v>95.196456716527933</v>
      </c>
      <c r="S25" s="93">
        <f t="shared" si="2"/>
        <v>34940.859999999986</v>
      </c>
      <c r="T25" s="93">
        <f t="shared" si="3"/>
        <v>45487.69</v>
      </c>
      <c r="U25" s="93"/>
      <c r="V25" s="124">
        <v>22677.27</v>
      </c>
      <c r="W25" s="124">
        <v>828.71</v>
      </c>
      <c r="X25" s="126"/>
      <c r="Y25" s="126"/>
      <c r="Z25" s="124">
        <v>18677.93</v>
      </c>
      <c r="AA25" s="124">
        <v>18.47</v>
      </c>
      <c r="AB25" s="48"/>
      <c r="AC25" s="49">
        <f t="shared" si="4"/>
        <v>22677.300000000003</v>
      </c>
      <c r="AD25" s="48">
        <f t="shared" si="5"/>
        <v>-3.0000000002473826E-2</v>
      </c>
    </row>
    <row r="26" spans="1:30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6.66</v>
      </c>
      <c r="H26" s="33">
        <f>'ТСЖ 1 кв.2024г.'!H26-'ТСЖ 1 кв.2024г.'!I26+X26+V26+W26</f>
        <v>233898.30999999985</v>
      </c>
      <c r="I26" s="33">
        <f t="shared" si="0"/>
        <v>33049.72</v>
      </c>
      <c r="J26" s="33">
        <f>'ТСЖ 1 кв.2024г.'!J26+Z26+AA26+X26</f>
        <v>1337008.1400000001</v>
      </c>
      <c r="K26" s="33">
        <f>'ТСЖ 1 кв.2024г.'!K26+'ТСЖ 2 кв.2024г.'!I26</f>
        <v>1193777.28</v>
      </c>
      <c r="L26" s="43"/>
      <c r="M26" s="66"/>
      <c r="N26" s="33">
        <f>'ТСЖ 1 кв.2024г.'!N26</f>
        <v>532320</v>
      </c>
      <c r="O26" s="121">
        <f t="shared" si="1"/>
        <v>661457.28</v>
      </c>
      <c r="P26" s="44">
        <v>235115.53</v>
      </c>
      <c r="Q26" s="46">
        <f>K26/J26*100</f>
        <v>89.287211071130784</v>
      </c>
      <c r="S26" s="93">
        <f t="shared" si="2"/>
        <v>143230.8600000001</v>
      </c>
      <c r="T26" s="93">
        <f t="shared" si="3"/>
        <v>200848.58999999985</v>
      </c>
      <c r="V26" s="124">
        <v>42343.68</v>
      </c>
      <c r="W26" s="124">
        <v>3682.9</v>
      </c>
      <c r="X26" s="126"/>
      <c r="Y26" s="126"/>
      <c r="Z26" s="124">
        <f>32515+300</f>
        <v>32815</v>
      </c>
      <c r="AA26" s="124">
        <v>234.72</v>
      </c>
      <c r="AB26" s="48"/>
      <c r="AC26" s="49">
        <f t="shared" si="4"/>
        <v>42343.614000000009</v>
      </c>
      <c r="AD26" s="48">
        <f t="shared" si="5"/>
        <v>6.5999999991618097E-2</v>
      </c>
    </row>
    <row r="27" spans="1:30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6.66</v>
      </c>
      <c r="H27" s="33">
        <f>'ТСЖ 1 кв.2024г.'!H27-'ТСЖ 1 кв.2024г.'!I27+X27+V27+W27</f>
        <v>199273.42999999996</v>
      </c>
      <c r="I27" s="33">
        <f t="shared" si="0"/>
        <v>32227</v>
      </c>
      <c r="J27" s="33">
        <f>'ТСЖ 1 кв.2024г.'!J27+Z27+AA27+X27</f>
        <v>1339089.2200000002</v>
      </c>
      <c r="K27" s="33">
        <f>'ТСЖ 1 кв.2024г.'!K27+'ТСЖ 2 кв.2024г.'!I27</f>
        <v>1206746.4100000001</v>
      </c>
      <c r="L27" s="43"/>
      <c r="M27" s="66"/>
      <c r="N27" s="33">
        <f>'ТСЖ 1 кв.2024г.'!N27</f>
        <v>475020</v>
      </c>
      <c r="O27" s="121">
        <f t="shared" si="1"/>
        <v>731726.41000000015</v>
      </c>
      <c r="P27" s="44">
        <v>287247.24</v>
      </c>
      <c r="Q27" s="46">
        <f>K27/J27*100</f>
        <v>90.116953521588357</v>
      </c>
      <c r="S27" s="93">
        <f t="shared" si="2"/>
        <v>132342.81000000006</v>
      </c>
      <c r="T27" s="93">
        <f t="shared" si="3"/>
        <v>167046.42999999996</v>
      </c>
      <c r="V27" s="124">
        <v>41848.11</v>
      </c>
      <c r="W27" s="124">
        <v>2687.47</v>
      </c>
      <c r="X27" s="126"/>
      <c r="Y27" s="126"/>
      <c r="Z27" s="124">
        <v>32200.29</v>
      </c>
      <c r="AA27" s="124">
        <v>26.71</v>
      </c>
      <c r="AB27" s="48"/>
      <c r="AC27" s="49">
        <f t="shared" si="4"/>
        <v>41848.11</v>
      </c>
      <c r="AD27" s="48">
        <f t="shared" si="5"/>
        <v>0</v>
      </c>
    </row>
    <row r="28" spans="1:30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6.66</v>
      </c>
      <c r="H28" s="33">
        <f>'ТСЖ 1 кв.2024г.'!H28-'ТСЖ 1 кв.2024г.'!I28+X28+V28+W28</f>
        <v>220149.23000000004</v>
      </c>
      <c r="I28" s="33">
        <f t="shared" si="0"/>
        <v>106878.69</v>
      </c>
      <c r="J28" s="33">
        <f>'ТСЖ 1 кв.2024г.'!J28+Z28+AA28+X28</f>
        <v>2088536.9000000004</v>
      </c>
      <c r="K28" s="33">
        <f>'ТСЖ 1 кв.2024г.'!K28+'ТСЖ 2 кв.2024г.'!I28</f>
        <v>1969777.5899999994</v>
      </c>
      <c r="L28" s="43"/>
      <c r="M28" s="66"/>
      <c r="N28" s="33">
        <f>'ТСЖ 1 кв.2024г.'!N28</f>
        <v>774822</v>
      </c>
      <c r="O28" s="121">
        <f t="shared" si="1"/>
        <v>1194955.5899999994</v>
      </c>
      <c r="P28" s="44">
        <v>354498.41</v>
      </c>
      <c r="Q28" s="46">
        <f t="shared" si="6"/>
        <v>94.313755720571606</v>
      </c>
      <c r="S28" s="93">
        <f t="shared" si="2"/>
        <v>120172.90000000098</v>
      </c>
      <c r="T28" s="93">
        <f t="shared" si="3"/>
        <v>113270.54000000004</v>
      </c>
      <c r="U28" s="127">
        <v>1296.3699999999999</v>
      </c>
      <c r="V28" s="124">
        <f>64447.44-14178.56</f>
        <v>50268.880000000005</v>
      </c>
      <c r="W28" s="124">
        <v>3372.34</v>
      </c>
      <c r="X28" s="126">
        <v>1413.59</v>
      </c>
      <c r="Y28" s="126"/>
      <c r="Z28" s="124">
        <v>105424.96000000001</v>
      </c>
      <c r="AA28" s="124">
        <v>40.14</v>
      </c>
      <c r="AB28" s="48"/>
      <c r="AC28" s="49">
        <f t="shared" si="4"/>
        <v>64447.487999999998</v>
      </c>
      <c r="AD28" s="48">
        <f t="shared" si="5"/>
        <v>-14178.607999999993</v>
      </c>
    </row>
    <row r="29" spans="1:30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6.66</v>
      </c>
      <c r="H29" s="33">
        <f>'ТСЖ 1 кв.2024г.'!H29-'ТСЖ 1 кв.2024г.'!I29+X29+V29+W29</f>
        <v>196481.87999999989</v>
      </c>
      <c r="I29" s="33">
        <f t="shared" si="0"/>
        <v>36074.340000000004</v>
      </c>
      <c r="J29" s="33">
        <f>'ТСЖ 1 кв.2024г.'!J29+Z29+AA29+X29</f>
        <v>1365791.5099999995</v>
      </c>
      <c r="K29" s="33">
        <f>'ТСЖ 1 кв.2024г.'!K29+'ТСЖ 2 кв.2024г.'!I29</f>
        <v>1240296.6500000001</v>
      </c>
      <c r="L29" s="43"/>
      <c r="M29" s="66"/>
      <c r="N29" s="33">
        <f>'ТСЖ 1 кв.2024г.'!N29</f>
        <v>721587</v>
      </c>
      <c r="O29" s="121">
        <f t="shared" si="1"/>
        <v>518709.65000000014</v>
      </c>
      <c r="P29" s="44">
        <v>309141.18</v>
      </c>
      <c r="Q29" s="46">
        <f>K29/J29*100</f>
        <v>90.811565375743214</v>
      </c>
      <c r="S29" s="48">
        <f t="shared" si="2"/>
        <v>125494.8599999994</v>
      </c>
      <c r="T29" s="48">
        <f t="shared" si="3"/>
        <v>160407.53999999989</v>
      </c>
      <c r="V29" s="124">
        <v>42667.29</v>
      </c>
      <c r="W29" s="124">
        <v>2677.79</v>
      </c>
      <c r="X29" s="125"/>
      <c r="Y29" s="125"/>
      <c r="Z29" s="124">
        <v>35999.760000000002</v>
      </c>
      <c r="AA29" s="124">
        <v>74.58</v>
      </c>
      <c r="AB29" s="48"/>
      <c r="AC29" s="49">
        <f t="shared" si="4"/>
        <v>42667.29</v>
      </c>
      <c r="AD29" s="48">
        <f t="shared" si="5"/>
        <v>0</v>
      </c>
    </row>
    <row r="30" spans="1:30" ht="12.75" customHeight="1">
      <c r="A30" s="2"/>
      <c r="O30" s="137">
        <f>SUM(O15:O29)</f>
        <v>14444535.869999999</v>
      </c>
      <c r="S30" s="3">
        <f>SUM(S15:S29)</f>
        <v>1787849.9000000004</v>
      </c>
      <c r="V30" s="3"/>
      <c r="W30" s="3"/>
      <c r="Z30" s="3">
        <f>SUM(Z15:Z29)</f>
        <v>657431.93999999994</v>
      </c>
      <c r="AA30" s="3">
        <f>SUM(AA15:AA29)</f>
        <v>480.40999999999991</v>
      </c>
    </row>
    <row r="31" spans="1:30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SUBTOTAL(9,V29,V28,V27,V26,V25,V24,V23,V22,V21,V20,V19,V18,V17,V16,V15)</f>
        <v>666218.87000000011</v>
      </c>
      <c r="W31" s="3"/>
      <c r="X31" s="3"/>
    </row>
    <row r="32" spans="1:30" ht="18.75" customHeight="1">
      <c r="A32" s="2"/>
      <c r="B32" s="107" t="s">
        <v>164</v>
      </c>
      <c r="C32" s="182" t="s">
        <v>452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t="15.75">
      <c r="A33" s="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27" s="27" customFormat="1" ht="15.75">
      <c r="A34" s="123" t="str">
        <f>'УК 2 кв. 2024г.'!A39</f>
        <v>04 июля 2024г.</v>
      </c>
      <c r="I34" s="28"/>
      <c r="Z34" s="28"/>
      <c r="AA34" s="28"/>
    </row>
    <row r="35" spans="1:27" s="27" customFormat="1" ht="15.75">
      <c r="A35" s="4"/>
      <c r="I35" s="28"/>
      <c r="Z35" s="28"/>
      <c r="AA35" s="28"/>
    </row>
    <row r="36" spans="1:27" s="27" customFormat="1" ht="15.75">
      <c r="A36" s="4"/>
      <c r="I36" s="28"/>
      <c r="Z36" s="28"/>
      <c r="AA36" s="28"/>
    </row>
    <row r="37" spans="1:27" s="27" customFormat="1" ht="15.75">
      <c r="A37" s="4" t="s">
        <v>47</v>
      </c>
      <c r="I37" s="28"/>
      <c r="Z37" s="28"/>
      <c r="AA37" s="28"/>
    </row>
    <row r="38" spans="1:27" s="27" customFormat="1" ht="15.75">
      <c r="A38" s="30" t="s">
        <v>48</v>
      </c>
      <c r="I38" s="28"/>
      <c r="Z38" s="28"/>
      <c r="AA38" s="28"/>
    </row>
    <row r="39" spans="1:27">
      <c r="A39" s="1"/>
    </row>
    <row r="40" spans="1:27">
      <c r="A40" s="1"/>
      <c r="K40" s="3"/>
    </row>
    <row r="41" spans="1:27">
      <c r="A41" s="1"/>
    </row>
    <row r="42" spans="1:27">
      <c r="A42" s="1"/>
    </row>
    <row r="43" spans="1:27">
      <c r="A43" s="1"/>
    </row>
    <row r="44" spans="1:27">
      <c r="A44" s="1"/>
    </row>
    <row r="45" spans="1:27">
      <c r="A45" s="1"/>
    </row>
    <row r="46" spans="1:27">
      <c r="A46" s="1"/>
    </row>
    <row r="47" spans="1:27">
      <c r="A47" s="1"/>
    </row>
    <row r="48" spans="1:27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autoFilter ref="A13:AA32">
    <filterColumn colId="2">
      <filters blank="1">
        <filter val="Справка об остатках денежных средств на  расчетных счетах по состоянию на 30.06.2024 № 7 от 02.07.2024г."/>
        <filter val="ул. Депутатская, дом № 75"/>
        <filter val="ул. Депутатская, дом № 75/1"/>
        <filter val="ул. Депутатская, дом № 77"/>
        <filter val="ул. Депутатская, дом № 79"/>
        <filter val="ул. Депутатская, дом № 81"/>
        <filter val="ул. Иркутской 30 дивизии, дом № 6"/>
        <filter val="ул. Иркутской 30 дивизии, дом № 8"/>
        <filter val="ул. Красноказачья, дом № 120/1"/>
        <filter val="ул. Красноказачья, дом № 120/3"/>
        <filter val="ул. Красноказачья, дом № 120/4"/>
        <filter val="ул. Станиславского дом № 25"/>
        <filter val="ул. Станиславского дом № 27"/>
        <filter val="ул. Станиславского дом № 29"/>
        <filter val="ул. Станиславского, дом № 31"/>
        <filter val="ул. Станиславского, дом № 33"/>
      </filters>
    </filterColumn>
  </autoFilter>
  <mergeCells count="25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C32:O32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2"/>
  <sheetViews>
    <sheetView topLeftCell="D4" zoomScaleNormal="100" workbookViewId="0">
      <selection activeCell="O10" sqref="O10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24" width="9.140625" style="13"/>
    <col min="25" max="25" width="11.42578125" style="3" bestFit="1" customWidth="1"/>
    <col min="26" max="26" width="9.28515625" style="3" bestFit="1" customWidth="1"/>
    <col min="29" max="29" width="12.28515625" customWidth="1"/>
    <col min="30" max="16384" width="9.140625" style="13"/>
  </cols>
  <sheetData>
    <row r="1" spans="1:29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Y1" s="26"/>
      <c r="Z1" s="26"/>
      <c r="AA1" s="17"/>
      <c r="AB1" s="17"/>
      <c r="AC1" s="17"/>
    </row>
    <row r="2" spans="1:29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Y2" s="26"/>
      <c r="Z2" s="26"/>
    </row>
    <row r="3" spans="1:29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  <c r="Y3" s="37"/>
      <c r="Z3" s="37"/>
      <c r="AA3" s="13"/>
      <c r="AB3" s="13"/>
      <c r="AC3" s="13"/>
    </row>
    <row r="4" spans="1:29" ht="15.75">
      <c r="A4" s="158" t="s">
        <v>449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Y4" s="37"/>
      <c r="Z4" s="37"/>
      <c r="AA4" s="13"/>
      <c r="AB4" s="13"/>
      <c r="AC4" s="13"/>
    </row>
    <row r="5" spans="1:29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  <c r="Y5" s="37"/>
      <c r="Z5" s="37"/>
      <c r="AA5" s="13"/>
      <c r="AB5" s="13"/>
      <c r="AC5" s="13"/>
    </row>
    <row r="6" spans="1:29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  <c r="Y6" s="37"/>
      <c r="Z6" s="37"/>
      <c r="AA6" s="13"/>
      <c r="AB6" s="13"/>
      <c r="AC6" s="13"/>
    </row>
    <row r="7" spans="1:29" ht="15.75">
      <c r="A7" s="1" t="s">
        <v>7</v>
      </c>
      <c r="D7" s="18" t="s">
        <v>51</v>
      </c>
      <c r="E7" s="17"/>
      <c r="F7" s="17"/>
      <c r="G7" s="17"/>
      <c r="H7" s="17"/>
      <c r="Y7" s="37"/>
      <c r="Z7" s="37"/>
      <c r="AA7" s="13"/>
      <c r="AB7" s="13"/>
      <c r="AC7" s="13"/>
    </row>
    <row r="8" spans="1:29">
      <c r="A8" s="1" t="s">
        <v>8</v>
      </c>
      <c r="Y8" s="37"/>
      <c r="Z8" s="37"/>
      <c r="AA8" s="13"/>
      <c r="AB8" s="13"/>
      <c r="AC8" s="13"/>
    </row>
    <row r="9" spans="1:29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  <c r="Y9" s="37"/>
      <c r="Z9" s="37"/>
      <c r="AA9" s="13"/>
      <c r="AB9" s="13"/>
      <c r="AC9" s="13"/>
    </row>
    <row r="10" spans="1:29" ht="15.75">
      <c r="A10" s="18" t="s">
        <v>61</v>
      </c>
      <c r="Y10" s="37"/>
      <c r="Z10" s="37"/>
      <c r="AA10" s="13"/>
      <c r="AB10" s="13"/>
      <c r="AC10" s="13"/>
    </row>
    <row r="11" spans="1:29" ht="15.75">
      <c r="A11" s="18" t="s">
        <v>62</v>
      </c>
      <c r="Y11" s="39"/>
      <c r="Z11" s="39"/>
      <c r="AA11" s="38"/>
      <c r="AB11" s="38"/>
      <c r="AC11" s="38"/>
    </row>
    <row r="12" spans="1:29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  <c r="Y12" s="39"/>
      <c r="Z12" s="39"/>
      <c r="AA12" s="38"/>
      <c r="AB12" s="38"/>
      <c r="AC12" s="38"/>
    </row>
    <row r="13" spans="1:29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  <c r="Y13" s="39"/>
      <c r="Z13" s="39"/>
      <c r="AA13" s="38"/>
      <c r="AB13" s="38"/>
      <c r="AC13" s="38"/>
    </row>
    <row r="14" spans="1:29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  <c r="Y14" s="39" t="s">
        <v>388</v>
      </c>
      <c r="Z14" s="39" t="s">
        <v>427</v>
      </c>
      <c r="AA14" s="14" t="s">
        <v>451</v>
      </c>
      <c r="AB14" s="14" t="s">
        <v>453</v>
      </c>
      <c r="AC14" s="14"/>
    </row>
    <row r="15" spans="1:29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  <c r="Y15" s="48"/>
      <c r="Z15" s="48"/>
      <c r="AA15" s="49"/>
      <c r="AB15" s="49"/>
      <c r="AC15" s="49"/>
    </row>
    <row r="16" spans="1:29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6.66</v>
      </c>
      <c r="H16" s="33">
        <f>'УК 1 кв. 2024г.'!H16-'УК 1 кв. 2024г.'!I16+V16+W16+X16</f>
        <v>416736.47999999992</v>
      </c>
      <c r="I16" s="33">
        <f>Y16+Z16+AA16+AB16</f>
        <v>171363.95</v>
      </c>
      <c r="J16" s="33">
        <f>'УК 1 кв. 2024г.'!J16+'УК 2 кв. 2024г.'!V16+'УК 2 кв. 2024г.'!W16</f>
        <v>6040294.9399999985</v>
      </c>
      <c r="K16" s="33">
        <f>'УК 1 кв. 2024г.'!K16+'УК 2 кв. 2024г.'!I16</f>
        <v>5875699.1000000006</v>
      </c>
      <c r="L16" s="64"/>
      <c r="M16" s="47"/>
      <c r="N16" s="33">
        <f>'УК 1 кв. 2024г.'!N16</f>
        <v>894970.86</v>
      </c>
      <c r="O16" s="33">
        <f>K16-N16</f>
        <v>4980728.24</v>
      </c>
      <c r="P16" s="110">
        <f>K16/J16*100</f>
        <v>97.275036374300001</v>
      </c>
      <c r="R16" s="19">
        <f>J16-K16</f>
        <v>164595.83999999799</v>
      </c>
      <c r="S16" s="19">
        <f>H16-I16</f>
        <v>245372.52999999991</v>
      </c>
      <c r="V16" s="129">
        <v>186163.68</v>
      </c>
      <c r="W16" s="129">
        <f>2423.44-5.08</f>
        <v>2418.36</v>
      </c>
      <c r="X16" s="130"/>
      <c r="Y16" s="129">
        <v>171002.7</v>
      </c>
      <c r="Z16" s="129">
        <v>911.25</v>
      </c>
      <c r="AA16" s="48"/>
      <c r="AB16" s="48">
        <v>-550</v>
      </c>
      <c r="AC16" s="49">
        <f>F16*G16*3</f>
        <v>186163.65000000002</v>
      </c>
    </row>
    <row r="17" spans="1:29" s="15" customFormat="1" ht="37.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3">
        <v>3083.8</v>
      </c>
      <c r="G17" s="32">
        <v>9.34</v>
      </c>
      <c r="H17" s="33">
        <f>'УК 1 кв. 2024г.'!H17-'УК 1 кв. 2024г.'!I17+V17+W17+X17</f>
        <v>190325.90000000014</v>
      </c>
      <c r="I17" s="33">
        <f t="shared" ref="I17:I23" si="0">Y17+Z17+AA17+AB17</f>
        <v>67514.7</v>
      </c>
      <c r="J17" s="33">
        <f>'УК 1 кв. 2024г.'!J17+'УК 2 кв. 2024г.'!V17+'УК 2 кв. 2024г.'!W17</f>
        <v>1992456.7400000005</v>
      </c>
      <c r="K17" s="33">
        <f>'УК 1 кв. 2024г.'!K17+'УК 2 кв. 2024г.'!I17</f>
        <v>1869645.54</v>
      </c>
      <c r="L17" s="32"/>
      <c r="M17" s="32"/>
      <c r="N17" s="33">
        <f>'УК 1 кв. 2024г.'!N17</f>
        <v>0</v>
      </c>
      <c r="O17" s="33">
        <f>K17-N17</f>
        <v>1869645.54</v>
      </c>
      <c r="P17" s="110">
        <f t="shared" ref="P17:P21" si="1">K17/J17*100</f>
        <v>93.836192398335314</v>
      </c>
      <c r="R17" s="19">
        <f>J17-K17</f>
        <v>122811.20000000042</v>
      </c>
      <c r="S17" s="19">
        <f>H17-I17</f>
        <v>122811.20000000014</v>
      </c>
      <c r="V17" s="129">
        <v>86565.119999999995</v>
      </c>
      <c r="W17" s="129">
        <v>2605.9499999999998</v>
      </c>
      <c r="X17" s="130"/>
      <c r="Y17" s="129">
        <v>67493.649999999994</v>
      </c>
      <c r="Z17" s="131">
        <v>21.05</v>
      </c>
      <c r="AA17" s="48"/>
      <c r="AB17" s="48"/>
      <c r="AC17" s="49">
        <f>F17*G17*3</f>
        <v>86408.076000000001</v>
      </c>
    </row>
    <row r="18" spans="1:29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9.34</v>
      </c>
      <c r="H18" s="33">
        <f>'УК 1 кв. 2024г.'!H18-'УК 1 кв. 2024г.'!I18+V18+W18+X18</f>
        <v>656497.31000000006</v>
      </c>
      <c r="I18" s="33">
        <f t="shared" si="0"/>
        <v>109140.56999999999</v>
      </c>
      <c r="J18" s="33">
        <f>'УК 1 кв. 2024г.'!J18+'УК 2 кв. 2024г.'!V18+'УК 2 кв. 2024г.'!W18</f>
        <v>2299080.25</v>
      </c>
      <c r="K18" s="33">
        <f>'УК 1 кв. 2024г.'!K18+'УК 2 кв. 2024г.'!I18</f>
        <v>1751723.51</v>
      </c>
      <c r="L18" s="34"/>
      <c r="M18" s="89"/>
      <c r="N18" s="33">
        <f>'УК 1 кв. 2024г.'!N18</f>
        <v>365967</v>
      </c>
      <c r="O18" s="33">
        <f>K18-N18</f>
        <v>1385756.51</v>
      </c>
      <c r="P18" s="110">
        <f t="shared" si="1"/>
        <v>76.192360401512744</v>
      </c>
      <c r="R18" s="19">
        <f>J18-K18</f>
        <v>547356.74</v>
      </c>
      <c r="S18" s="19">
        <f>H18-I18</f>
        <v>547356.74000000011</v>
      </c>
      <c r="V18" s="129">
        <v>70531.92</v>
      </c>
      <c r="W18" s="129">
        <v>9846.24</v>
      </c>
      <c r="X18" s="130"/>
      <c r="Y18" s="129">
        <v>93627.23</v>
      </c>
      <c r="Z18" s="129">
        <v>15513.34</v>
      </c>
      <c r="AA18" s="48"/>
      <c r="AB18" s="48"/>
      <c r="AC18" s="49">
        <f t="shared" ref="AC18:AC23" si="2">F18*G18*3</f>
        <v>70531.943999999989</v>
      </c>
    </row>
    <row r="19" spans="1:29" s="15" customFormat="1" ht="33" customHeight="1">
      <c r="A19" s="32">
        <v>1</v>
      </c>
      <c r="B19" s="32" t="s">
        <v>28</v>
      </c>
      <c r="C19" s="103" t="s">
        <v>408</v>
      </c>
      <c r="D19" s="32">
        <v>2012</v>
      </c>
      <c r="E19" s="32"/>
      <c r="F19" s="33">
        <v>2729.9</v>
      </c>
      <c r="G19" s="32">
        <v>9.34</v>
      </c>
      <c r="H19" s="33">
        <f>'УК 1 кв. 2024г.'!H19-'УК 1 кв. 2024г.'!I19+V19+W19+X19</f>
        <v>396044.99999999994</v>
      </c>
      <c r="I19" s="33">
        <f t="shared" si="0"/>
        <v>135249.69</v>
      </c>
      <c r="J19" s="33">
        <f>'УК 1 кв. 2024г.'!J19+'УК 2 кв. 2024г.'!V19+'УК 2 кв. 2024г.'!W19</f>
        <v>2516011.7799999998</v>
      </c>
      <c r="K19" s="33">
        <f>'УК 1 кв. 2024г.'!K19+'УК 2 кв. 2024г.'!I19</f>
        <v>2255216.4699999997</v>
      </c>
      <c r="L19" s="43"/>
      <c r="M19" s="91"/>
      <c r="N19" s="33">
        <f>'УК 1 кв. 2024г.'!N19</f>
        <v>755760.4</v>
      </c>
      <c r="O19" s="33">
        <f t="shared" ref="O19:O23" si="3">K19-N19</f>
        <v>1499456.0699999998</v>
      </c>
      <c r="P19" s="120">
        <f t="shared" si="1"/>
        <v>89.634575160852378</v>
      </c>
      <c r="R19" s="19">
        <f>J19-K19</f>
        <v>260795.31000000006</v>
      </c>
      <c r="S19" s="19">
        <f t="shared" ref="S19:S23" si="4">H19-I19</f>
        <v>260795.30999999994</v>
      </c>
      <c r="U19" s="19"/>
      <c r="V19" s="129">
        <v>76491.899999999994</v>
      </c>
      <c r="W19" s="129">
        <v>5350.92</v>
      </c>
      <c r="X19" s="130"/>
      <c r="Y19" s="129">
        <v>123639.24</v>
      </c>
      <c r="Z19" s="131">
        <v>11610.45</v>
      </c>
      <c r="AA19" s="48"/>
      <c r="AB19" s="48"/>
      <c r="AC19" s="49">
        <f t="shared" si="2"/>
        <v>76491.797999999995</v>
      </c>
    </row>
    <row r="20" spans="1:29" ht="35.25" customHeight="1">
      <c r="A20" s="32">
        <v>1</v>
      </c>
      <c r="B20" s="32" t="s">
        <v>28</v>
      </c>
      <c r="C20" s="103" t="s">
        <v>409</v>
      </c>
      <c r="D20" s="32">
        <v>2007</v>
      </c>
      <c r="E20" s="32"/>
      <c r="F20" s="33">
        <v>2918.7</v>
      </c>
      <c r="G20" s="32">
        <v>9.34</v>
      </c>
      <c r="H20" s="33">
        <f>'УК 1 кв. 2024г.'!H20-'УК 1 кв. 2024г.'!I20+V20+W20+X20</f>
        <v>105238.65999999996</v>
      </c>
      <c r="I20" s="33">
        <f t="shared" si="0"/>
        <v>88930.07</v>
      </c>
      <c r="J20" s="33">
        <f>'УК 1 кв. 2024г.'!J20+'УК 2 кв. 2024г.'!V20+'УК 2 кв. 2024г.'!W20</f>
        <v>2684239.1699999995</v>
      </c>
      <c r="K20" s="33">
        <f>'УК 1 кв. 2024г.'!K20+'УК 2 кв. 2024г.'!I20</f>
        <v>2414594.0500000003</v>
      </c>
      <c r="L20" s="32"/>
      <c r="M20" s="32"/>
      <c r="N20" s="33">
        <f>'УК 1 кв. 2024г.'!N20</f>
        <v>650595</v>
      </c>
      <c r="O20" s="33">
        <f t="shared" si="3"/>
        <v>1763999.0500000003</v>
      </c>
      <c r="P20" s="120">
        <f t="shared" si="1"/>
        <v>89.954504687449315</v>
      </c>
      <c r="R20" s="19">
        <f>J20-K20</f>
        <v>269645.11999999918</v>
      </c>
      <c r="S20" s="19">
        <f t="shared" si="4"/>
        <v>16308.589999999953</v>
      </c>
      <c r="V20" s="129">
        <v>81782.039999999994</v>
      </c>
      <c r="W20" s="129">
        <v>4878.84</v>
      </c>
      <c r="X20" s="130"/>
      <c r="Y20" s="129">
        <v>88517.19</v>
      </c>
      <c r="Z20" s="131">
        <v>412.88</v>
      </c>
      <c r="AA20" s="48"/>
      <c r="AB20" s="48"/>
      <c r="AC20" s="49">
        <f t="shared" si="2"/>
        <v>81781.974000000002</v>
      </c>
    </row>
    <row r="21" spans="1:29" ht="35.25" customHeight="1">
      <c r="A21" s="32">
        <v>1</v>
      </c>
      <c r="B21" s="32" t="s">
        <v>28</v>
      </c>
      <c r="C21" s="103" t="s">
        <v>410</v>
      </c>
      <c r="D21" s="32">
        <v>2018</v>
      </c>
      <c r="E21" s="32"/>
      <c r="F21" s="33">
        <v>4764.6000000000004</v>
      </c>
      <c r="G21" s="32">
        <v>9.34</v>
      </c>
      <c r="H21" s="33">
        <f>'УК 1 кв. 2024г.'!H21-'УК 1 кв. 2024г.'!I21+V21+W21+X21</f>
        <v>353666.30999999994</v>
      </c>
      <c r="I21" s="33">
        <f t="shared" si="0"/>
        <v>133141.04</v>
      </c>
      <c r="J21" s="33">
        <f>'УК 1 кв. 2024г.'!J21+'УК 2 кв. 2024г.'!V21+'УК 2 кв. 2024г.'!W21</f>
        <v>1723994.74</v>
      </c>
      <c r="K21" s="33">
        <f>'УК 1 кв. 2024г.'!K21+'УК 2 кв. 2024г.'!I21</f>
        <v>1492772.52</v>
      </c>
      <c r="L21" s="32"/>
      <c r="M21" s="32"/>
      <c r="N21" s="33">
        <f>'УК 1 кв. 2024г.'!N21</f>
        <v>0</v>
      </c>
      <c r="O21" s="33">
        <f t="shared" si="3"/>
        <v>1492772.52</v>
      </c>
      <c r="P21" s="120">
        <f t="shared" si="1"/>
        <v>86.587997362451347</v>
      </c>
      <c r="R21" s="19">
        <f t="shared" ref="R21:R23" si="5">J21-K21</f>
        <v>231222.21999999997</v>
      </c>
      <c r="S21" s="19">
        <f t="shared" si="4"/>
        <v>220525.26999999993</v>
      </c>
      <c r="V21" s="129">
        <v>133504.07999999999</v>
      </c>
      <c r="W21" s="129">
        <v>4275.3500000000004</v>
      </c>
      <c r="X21" s="131"/>
      <c r="Y21" s="129">
        <v>131717.57</v>
      </c>
      <c r="Z21" s="129">
        <v>1423.47</v>
      </c>
      <c r="AA21" s="48"/>
      <c r="AB21" s="48"/>
      <c r="AC21" s="49">
        <f t="shared" si="2"/>
        <v>133504.092</v>
      </c>
    </row>
    <row r="22" spans="1:29" ht="35.25" customHeight="1">
      <c r="A22" s="32">
        <v>1</v>
      </c>
      <c r="B22" s="32" t="s">
        <v>28</v>
      </c>
      <c r="C22" s="103" t="s">
        <v>411</v>
      </c>
      <c r="D22" s="32">
        <v>2007</v>
      </c>
      <c r="E22" s="32"/>
      <c r="F22" s="33">
        <v>1202.9000000000001</v>
      </c>
      <c r="G22" s="32">
        <v>6.66</v>
      </c>
      <c r="H22" s="33">
        <f>'УК 1 кв. 2024г.'!H22-'УК 1 кв. 2024г.'!I22+V22+W22+X22</f>
        <v>162547.31999999998</v>
      </c>
      <c r="I22" s="33">
        <f t="shared" si="0"/>
        <v>22920.920000000002</v>
      </c>
      <c r="J22" s="33">
        <f>'УК 1 кв. 2024г.'!J22+'УК 2 кв. 2024г.'!V22+'УК 2 кв. 2024г.'!W22</f>
        <v>769474.51000000024</v>
      </c>
      <c r="K22" s="33">
        <f>'УК 1 кв. 2024г.'!K22+'УК 2 кв. 2024г.'!I22</f>
        <v>643478.96000000008</v>
      </c>
      <c r="L22" s="32"/>
      <c r="M22" s="32"/>
      <c r="N22" s="33">
        <f>'УК 1 кв. 2024г.'!N22</f>
        <v>0</v>
      </c>
      <c r="O22" s="33">
        <f>K22-N22</f>
        <v>643478.96000000008</v>
      </c>
      <c r="P22" s="120">
        <f>K22/J22*100</f>
        <v>83.625766888626345</v>
      </c>
      <c r="R22" s="19">
        <f t="shared" si="5"/>
        <v>125995.55000000016</v>
      </c>
      <c r="S22" s="19">
        <f t="shared" si="4"/>
        <v>139626.39999999997</v>
      </c>
      <c r="V22" s="129">
        <v>24033.9</v>
      </c>
      <c r="W22" s="129">
        <v>2701.89</v>
      </c>
      <c r="X22" s="130"/>
      <c r="Y22" s="129">
        <v>22919.84</v>
      </c>
      <c r="Z22" s="130">
        <v>0.45</v>
      </c>
      <c r="AA22" s="48">
        <v>0.63</v>
      </c>
      <c r="AB22" s="48"/>
      <c r="AC22" s="49">
        <f t="shared" si="2"/>
        <v>24033.942000000003</v>
      </c>
    </row>
    <row r="23" spans="1:29" ht="35.25" customHeight="1">
      <c r="A23" s="32">
        <v>1</v>
      </c>
      <c r="B23" s="32" t="s">
        <v>28</v>
      </c>
      <c r="C23" s="103" t="s">
        <v>412</v>
      </c>
      <c r="D23" s="32">
        <v>2006</v>
      </c>
      <c r="E23" s="32"/>
      <c r="F23" s="33">
        <v>1201.8</v>
      </c>
      <c r="G23" s="32">
        <v>6.66</v>
      </c>
      <c r="H23" s="33">
        <f>'УК 1 кв. 2024г.'!H23-'УК 1 кв. 2024г.'!I23+V23+W23+X23</f>
        <v>151091.69999999998</v>
      </c>
      <c r="I23" s="33">
        <f t="shared" si="0"/>
        <v>94724.95</v>
      </c>
      <c r="J23" s="33">
        <f>'УК 1 кв. 2024г.'!J23+'УК 2 кв. 2024г.'!V23+'УК 2 кв. 2024г.'!W23</f>
        <v>704951.28</v>
      </c>
      <c r="K23" s="33">
        <f>'УК 1 кв. 2024г.'!K23+'УК 2 кв. 2024г.'!I23</f>
        <v>637889.21</v>
      </c>
      <c r="L23" s="32"/>
      <c r="M23" s="32"/>
      <c r="N23" s="33">
        <f>'УК 1 кв. 2024г.'!N23</f>
        <v>369062</v>
      </c>
      <c r="O23" s="33">
        <f t="shared" si="3"/>
        <v>268827.20999999996</v>
      </c>
      <c r="P23" s="120">
        <f>K23/J23*100</f>
        <v>90.486992235832233</v>
      </c>
      <c r="R23" s="19">
        <f t="shared" si="5"/>
        <v>67062.070000000065</v>
      </c>
      <c r="S23" s="19">
        <f t="shared" si="4"/>
        <v>56366.749999999985</v>
      </c>
      <c r="V23" s="129">
        <v>24011.97</v>
      </c>
      <c r="W23" s="129">
        <v>2531.75</v>
      </c>
      <c r="X23" s="130"/>
      <c r="Y23" s="129">
        <v>73379.11</v>
      </c>
      <c r="Z23" s="129">
        <v>21345.84</v>
      </c>
      <c r="AA23" s="48"/>
      <c r="AB23" s="48"/>
      <c r="AC23" s="49">
        <f t="shared" si="2"/>
        <v>24011.964</v>
      </c>
    </row>
    <row r="24" spans="1:29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37">
        <f>SUM(V16:V23)</f>
        <v>683084.61</v>
      </c>
      <c r="W24" s="37">
        <f>SUM(W16:W23)</f>
        <v>34609.300000000003</v>
      </c>
      <c r="Y24" s="124"/>
      <c r="Z24" s="124"/>
      <c r="AA24" s="48"/>
      <c r="AB24" s="48"/>
      <c r="AC24" s="49">
        <f t="shared" ref="AC24:AC29" si="6">E24*F24*3</f>
        <v>0</v>
      </c>
    </row>
    <row r="25" spans="1:29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  <c r="Y25" s="124"/>
      <c r="Z25" s="124"/>
      <c r="AA25" s="48"/>
      <c r="AB25" s="48"/>
      <c r="AC25" s="49">
        <f t="shared" si="6"/>
        <v>0</v>
      </c>
    </row>
    <row r="26" spans="1:29" s="17" customFormat="1" ht="23.25" customHeight="1">
      <c r="A26" s="4"/>
      <c r="B26" s="136" t="s">
        <v>454</v>
      </c>
      <c r="C26" s="136"/>
      <c r="D26" s="136"/>
      <c r="E26" s="136"/>
      <c r="F26" s="136"/>
      <c r="G26" s="136"/>
      <c r="H26" s="136"/>
      <c r="I26" s="136"/>
      <c r="J26" s="136"/>
      <c r="K26" s="90"/>
      <c r="L26" s="4"/>
      <c r="P26" s="62"/>
      <c r="Y26" s="124"/>
      <c r="Z26" s="124"/>
      <c r="AA26" s="48"/>
      <c r="AB26" s="48"/>
      <c r="AC26" s="49">
        <f t="shared" si="6"/>
        <v>0</v>
      </c>
    </row>
    <row r="27" spans="1:29" s="62" customFormat="1" ht="15.75">
      <c r="A27" s="111"/>
      <c r="B27" s="191" t="s">
        <v>455</v>
      </c>
      <c r="C27" s="191"/>
      <c r="D27" s="191"/>
      <c r="E27" s="191"/>
      <c r="F27" s="191"/>
      <c r="G27" s="191"/>
      <c r="H27" s="191"/>
      <c r="I27" s="191"/>
      <c r="J27" s="15"/>
      <c r="K27" s="15"/>
      <c r="Y27" s="124"/>
      <c r="Z27" s="124"/>
      <c r="AA27" s="48"/>
      <c r="AB27" s="48"/>
      <c r="AC27" s="49">
        <f t="shared" si="6"/>
        <v>0</v>
      </c>
    </row>
    <row r="28" spans="1:29" s="17" customFormat="1" ht="16.5" hidden="1" customHeight="1">
      <c r="A28" s="4"/>
      <c r="C28" s="13" t="s">
        <v>414</v>
      </c>
      <c r="D28" s="13"/>
      <c r="E28" s="13"/>
      <c r="F28" s="13"/>
      <c r="G28" s="13"/>
      <c r="H28" s="13"/>
      <c r="I28" s="13"/>
      <c r="J28" s="13"/>
      <c r="K28" s="13"/>
      <c r="P28" s="62"/>
      <c r="Y28" s="124">
        <v>56183.08</v>
      </c>
      <c r="Z28" s="124">
        <v>20.37</v>
      </c>
      <c r="AA28" s="48"/>
      <c r="AB28" s="48"/>
      <c r="AC28" s="49">
        <f t="shared" si="6"/>
        <v>0</v>
      </c>
    </row>
    <row r="29" spans="1:29" s="17" customFormat="1" ht="17.25" hidden="1" customHeight="1">
      <c r="A29" s="4"/>
      <c r="C29" s="13" t="s">
        <v>415</v>
      </c>
      <c r="D29" s="13"/>
      <c r="E29" s="13"/>
      <c r="F29" s="13"/>
      <c r="G29" s="13"/>
      <c r="H29" s="13"/>
      <c r="I29" s="13"/>
      <c r="J29" s="13"/>
      <c r="K29" s="13"/>
      <c r="P29" s="62"/>
      <c r="Y29" s="124">
        <v>43711.13</v>
      </c>
      <c r="Z29" s="124">
        <v>979.02</v>
      </c>
      <c r="AA29" s="48"/>
      <c r="AB29" s="48"/>
      <c r="AC29" s="49">
        <f t="shared" si="6"/>
        <v>0</v>
      </c>
    </row>
    <row r="30" spans="1:29" s="17" customFormat="1" ht="21" hidden="1" customHeight="1">
      <c r="A30" s="4"/>
      <c r="C30" s="13" t="s">
        <v>416</v>
      </c>
      <c r="D30" s="13"/>
      <c r="E30" s="13"/>
      <c r="F30" s="13"/>
      <c r="G30" s="13"/>
      <c r="H30" s="13"/>
      <c r="I30" s="13"/>
      <c r="J30" s="13"/>
      <c r="K30" s="13"/>
      <c r="P30" s="62"/>
      <c r="Y30" s="3">
        <f>SUM(Y15:Y29)</f>
        <v>872190.74</v>
      </c>
      <c r="Z30" s="3">
        <f>SUM(Z15:Z29)</f>
        <v>52238.12</v>
      </c>
      <c r="AA30"/>
      <c r="AB30"/>
      <c r="AC30"/>
    </row>
    <row r="31" spans="1:29" s="17" customFormat="1" ht="20.25" hidden="1" customHeight="1">
      <c r="A31" s="4"/>
      <c r="C31" s="13" t="s">
        <v>417</v>
      </c>
      <c r="D31" s="13"/>
      <c r="E31" s="13"/>
      <c r="F31" s="13"/>
      <c r="G31" s="13"/>
      <c r="H31" s="13"/>
      <c r="I31" s="13"/>
      <c r="J31" s="13"/>
      <c r="K31" s="13"/>
      <c r="P31" s="62"/>
      <c r="Y31" s="3"/>
      <c r="Z31" s="3"/>
      <c r="AA31"/>
      <c r="AB31"/>
      <c r="AC31"/>
    </row>
    <row r="32" spans="1:29" s="17" customFormat="1" ht="15.75" hidden="1" customHeight="1">
      <c r="A32" s="4"/>
      <c r="C32" s="13" t="s">
        <v>418</v>
      </c>
      <c r="D32" s="13"/>
      <c r="E32" s="13"/>
      <c r="F32" s="13"/>
      <c r="G32" s="13"/>
      <c r="H32" s="13"/>
      <c r="I32" s="13"/>
      <c r="J32" s="13"/>
      <c r="K32" s="13"/>
      <c r="P32" s="62"/>
      <c r="Y32" s="3"/>
      <c r="Z32" s="3"/>
      <c r="AA32"/>
      <c r="AB32"/>
      <c r="AC32"/>
    </row>
    <row r="33" spans="1:29" s="17" customFormat="1" ht="12" hidden="1" customHeight="1">
      <c r="A33" s="4"/>
      <c r="C33" s="13" t="s">
        <v>419</v>
      </c>
      <c r="D33" s="13"/>
      <c r="E33" s="13"/>
      <c r="F33" s="13"/>
      <c r="G33" s="13"/>
      <c r="H33" s="13"/>
      <c r="I33" s="13"/>
      <c r="J33" s="13"/>
      <c r="K33" s="13"/>
      <c r="P33" s="62"/>
      <c r="Y33" s="3"/>
      <c r="Z33" s="3"/>
      <c r="AA33"/>
      <c r="AB33"/>
      <c r="AC33"/>
    </row>
    <row r="34" spans="1:29" s="17" customFormat="1" ht="12.75" hidden="1" customHeight="1">
      <c r="A34" s="4"/>
      <c r="C34" s="13" t="s">
        <v>420</v>
      </c>
      <c r="D34" s="13"/>
      <c r="E34" s="13"/>
      <c r="F34" s="13"/>
      <c r="G34" s="13"/>
      <c r="H34" s="13"/>
      <c r="I34" s="13"/>
      <c r="J34" s="13"/>
      <c r="K34" s="13"/>
      <c r="P34" s="62"/>
      <c r="Y34" s="3"/>
      <c r="Z34" s="3"/>
      <c r="AA34"/>
      <c r="AB34"/>
      <c r="AC34"/>
    </row>
    <row r="35" spans="1:29" s="17" customFormat="1" ht="12.75" hidden="1" customHeight="1">
      <c r="A35" s="4"/>
      <c r="C35" s="13" t="s">
        <v>421</v>
      </c>
      <c r="D35" s="13"/>
      <c r="E35" s="13"/>
      <c r="F35" s="13"/>
      <c r="G35" s="13"/>
      <c r="H35" s="13"/>
      <c r="I35" s="13"/>
      <c r="J35" s="13"/>
      <c r="K35" s="13"/>
      <c r="P35" s="62"/>
      <c r="Y35" s="28"/>
      <c r="Z35" s="28"/>
      <c r="AA35" s="27"/>
      <c r="AB35" s="27"/>
      <c r="AC35" s="27"/>
    </row>
    <row r="36" spans="1:29" s="17" customFormat="1" ht="11.25" hidden="1" customHeight="1">
      <c r="A36" s="4"/>
      <c r="C36" s="13" t="s">
        <v>422</v>
      </c>
      <c r="D36" s="13"/>
      <c r="E36" s="13"/>
      <c r="F36" s="13"/>
      <c r="G36" s="13"/>
      <c r="H36" s="13"/>
      <c r="I36" s="13"/>
      <c r="J36" s="13"/>
      <c r="K36" s="13"/>
      <c r="P36" s="62"/>
      <c r="Y36" s="28"/>
      <c r="Z36" s="28"/>
      <c r="AA36" s="27"/>
      <c r="AB36" s="27"/>
      <c r="AC36" s="27"/>
    </row>
    <row r="37" spans="1:29" s="17" customFormat="1" ht="16.5" customHeight="1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  <c r="Y37" s="28"/>
      <c r="Z37" s="28"/>
      <c r="AA37" s="27"/>
      <c r="AB37" s="27"/>
      <c r="AC37" s="27"/>
    </row>
    <row r="38" spans="1:29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  <c r="Y38" s="28"/>
      <c r="Z38" s="28"/>
      <c r="AA38" s="27"/>
      <c r="AB38" s="27"/>
      <c r="AC38" s="27"/>
    </row>
    <row r="39" spans="1:29" s="17" customFormat="1" ht="15.75">
      <c r="A39" s="4" t="s">
        <v>450</v>
      </c>
      <c r="P39" s="62"/>
      <c r="Y39" s="28"/>
      <c r="Z39" s="28"/>
      <c r="AA39" s="27"/>
      <c r="AB39" s="27"/>
      <c r="AC39" s="27"/>
    </row>
    <row r="40" spans="1:29" s="17" customFormat="1" ht="15.75">
      <c r="A40" s="4" t="s">
        <v>59</v>
      </c>
      <c r="P40" s="62"/>
      <c r="Y40" s="3"/>
      <c r="Z40" s="3"/>
      <c r="AA40"/>
      <c r="AB40"/>
      <c r="AC40"/>
    </row>
    <row r="41" spans="1:29" s="17" customFormat="1" ht="15.75">
      <c r="A41" s="4"/>
      <c r="P41" s="62"/>
      <c r="Y41" s="3"/>
      <c r="Z41" s="3"/>
      <c r="AA41"/>
      <c r="AB41"/>
      <c r="AC41"/>
    </row>
    <row r="42" spans="1:29">
      <c r="A42" s="2" t="s">
        <v>48</v>
      </c>
    </row>
  </sheetData>
  <autoFilter ref="A15:W23"/>
  <mergeCells count="26">
    <mergeCell ref="D9:L9"/>
    <mergeCell ref="A1:P1"/>
    <mergeCell ref="A2:P2"/>
    <mergeCell ref="A3:O3"/>
    <mergeCell ref="A4:O4"/>
    <mergeCell ref="D6:M6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J13:J14"/>
    <mergeCell ref="K13:K14"/>
    <mergeCell ref="L13:L14"/>
    <mergeCell ref="M13:M14"/>
    <mergeCell ref="N13:N14"/>
    <mergeCell ref="B27:I27"/>
    <mergeCell ref="G12:G14"/>
    <mergeCell ref="H12:I12"/>
    <mergeCell ref="J12:K12"/>
    <mergeCell ref="L12:N12"/>
    <mergeCell ref="F12:F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D53"/>
  <sheetViews>
    <sheetView topLeftCell="A19" workbookViewId="0">
      <selection activeCell="O10" sqref="O10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  <col min="30" max="30" width="11.28515625" customWidth="1"/>
  </cols>
  <sheetData>
    <row r="1" spans="1:30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30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30" s="13" customFormat="1" ht="15.75">
      <c r="A3" s="187" t="str">
        <f>'УК 1 кв. 2024г.'!A4:O4</f>
        <v xml:space="preserve">по состоянию за 1 квартал 2024 года на 01 апреля 2024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30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30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30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30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30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30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30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30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30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30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</row>
    <row r="14" spans="1:30" s="14" customFormat="1" ht="11.25" hidden="1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30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4752.7</v>
      </c>
      <c r="G15" s="32">
        <v>6.66</v>
      </c>
      <c r="H15" s="33">
        <f>'ТСЖ 4 кв.2023г.'!H15-'ТСЖ 4 кв.2023г.'!I15+X15+V15+W15</f>
        <v>465423.43600000005</v>
      </c>
      <c r="I15" s="33">
        <f>Z15+AA15+X15</f>
        <v>73947.839999999982</v>
      </c>
      <c r="J15" s="33">
        <f>'ТСЖ 4 кв.2023г.'!J15+Z15+AA15+X15</f>
        <v>2938431.2200000011</v>
      </c>
      <c r="K15" s="33">
        <f>'ТСЖ 4 кв.2023г.'!K15+'ТСЖ 1 кв.2024г.'!I15</f>
        <v>2659203.7199999997</v>
      </c>
      <c r="L15" s="43"/>
      <c r="M15" s="66"/>
      <c r="N15" s="33">
        <f>'ТСЖ 4 кв.2023г.'!N15</f>
        <v>426357.21</v>
      </c>
      <c r="O15" s="105">
        <f>K15-N15</f>
        <v>2232846.5099999998</v>
      </c>
      <c r="P15" s="74">
        <v>520817.08</v>
      </c>
      <c r="Q15" s="46">
        <f>K15/J15*100</f>
        <v>90.497395409513743</v>
      </c>
      <c r="S15" s="48">
        <f>J15-K15+16536.37</f>
        <v>295763.87000000139</v>
      </c>
      <c r="T15" s="48">
        <f>H15-I15</f>
        <v>391475.59600000008</v>
      </c>
      <c r="V15" s="48">
        <f>F15*G15*3-0.04-4935.36</f>
        <v>90023.546000000002</v>
      </c>
      <c r="W15" s="48">
        <v>7002.69</v>
      </c>
      <c r="X15" s="48">
        <v>2698.65</v>
      </c>
      <c r="Y15" s="48"/>
      <c r="Z15" s="48">
        <f>84371.15-13702.75</f>
        <v>70668.399999999994</v>
      </c>
      <c r="AA15" s="48">
        <v>580.79</v>
      </c>
    </row>
    <row r="16" spans="1:30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6.66</v>
      </c>
      <c r="H16" s="33">
        <f>'ТСЖ 4 кв.2023г.'!H16-'ТСЖ 4 кв.2023г.'!I16+X16+V16+W16</f>
        <v>85953.579999999973</v>
      </c>
      <c r="I16" s="33">
        <f t="shared" ref="I16:I29" si="0">Z16+AA16</f>
        <v>29594.2</v>
      </c>
      <c r="J16" s="33">
        <f>'ТСЖ 4 кв.2023г.'!J16+Z16+AA16+X16</f>
        <v>1232302.4300000004</v>
      </c>
      <c r="K16" s="33">
        <f>'ТСЖ 4 кв.2023г.'!K16+'ТСЖ 1 кв.2024г.'!I16+X16</f>
        <v>1147596.08</v>
      </c>
      <c r="L16" s="43"/>
      <c r="M16" s="66"/>
      <c r="N16" s="33">
        <f>'ТСЖ 4 кв.2023г.'!N16</f>
        <v>221688.82</v>
      </c>
      <c r="O16" s="105">
        <f t="shared" ref="O16:O29" si="1">K16-N16</f>
        <v>925907.26</v>
      </c>
      <c r="P16" s="78">
        <v>264064.82</v>
      </c>
      <c r="Q16" s="46">
        <f>K16/J16*100</f>
        <v>93.126171957641901</v>
      </c>
      <c r="S16" s="48">
        <f t="shared" ref="S16:S29" si="2">J16-K16+X16</f>
        <v>84706.350000000326</v>
      </c>
      <c r="T16" s="48">
        <f t="shared" ref="T16:T29" si="3">H16-I16</f>
        <v>56359.379999999976</v>
      </c>
      <c r="V16" s="124">
        <v>38137.86</v>
      </c>
      <c r="W16" s="124">
        <v>937.55</v>
      </c>
      <c r="X16" s="125"/>
      <c r="Y16" s="125"/>
      <c r="Z16" s="124">
        <v>29393.61</v>
      </c>
      <c r="AA16" s="124">
        <v>200.59</v>
      </c>
      <c r="AB16" s="48"/>
      <c r="AC16" s="49">
        <f>F16*G16*3</f>
        <v>38137.824000000001</v>
      </c>
      <c r="AD16" s="48">
        <f>V16-AC16</f>
        <v>3.6000000000058208E-2</v>
      </c>
    </row>
    <row r="17" spans="1:30" s="49" customFormat="1" ht="39.75" customHeight="1">
      <c r="A17" s="32">
        <v>1</v>
      </c>
      <c r="B17" s="60" t="s">
        <v>28</v>
      </c>
      <c r="C17" s="60" t="s">
        <v>402</v>
      </c>
      <c r="D17" s="60">
        <v>2002</v>
      </c>
      <c r="E17" s="60"/>
      <c r="F17" s="61">
        <v>1947.3</v>
      </c>
      <c r="G17" s="60">
        <v>6.66</v>
      </c>
      <c r="H17" s="33">
        <f>'ТСЖ 4 кв.2023г.'!H17-'ТСЖ 4 кв.2023г.'!I17+X17+V17+W17</f>
        <v>204130.70000000013</v>
      </c>
      <c r="I17" s="33">
        <f t="shared" si="0"/>
        <v>40997.69</v>
      </c>
      <c r="J17" s="33">
        <f>'ТСЖ 4 кв.2023г.'!J17+Z17+AA17+X17</f>
        <v>1224090.2699999991</v>
      </c>
      <c r="K17" s="33">
        <f>'ТСЖ 4 кв.2023г.'!K17+'ТСЖ 1 кв.2024г.'!I17</f>
        <v>1080857.33</v>
      </c>
      <c r="L17" s="43"/>
      <c r="M17" s="66"/>
      <c r="N17" s="33">
        <f>'ТСЖ 4 кв.2023г.'!N17</f>
        <v>476040</v>
      </c>
      <c r="O17" s="105">
        <f t="shared" si="1"/>
        <v>604817.33000000007</v>
      </c>
      <c r="P17" s="74">
        <v>253163.82</v>
      </c>
      <c r="Q17" s="65">
        <f>K17/J17*100</f>
        <v>88.298825379928957</v>
      </c>
      <c r="S17" s="48">
        <f t="shared" si="2"/>
        <v>143232.93999999901</v>
      </c>
      <c r="T17" s="48">
        <f t="shared" si="3"/>
        <v>163133.01000000013</v>
      </c>
      <c r="V17" s="124">
        <v>38907.06</v>
      </c>
      <c r="W17" s="124">
        <v>2966.84</v>
      </c>
      <c r="X17" s="125"/>
      <c r="Y17" s="125"/>
      <c r="Z17" s="124">
        <f>40355.98+300</f>
        <v>40655.980000000003</v>
      </c>
      <c r="AA17" s="124">
        <v>341.71</v>
      </c>
      <c r="AB17" s="48"/>
      <c r="AC17" s="49">
        <f t="shared" ref="AC17:AC29" si="4">F17*G17*3</f>
        <v>38907.054000000004</v>
      </c>
      <c r="AD17" s="48">
        <f t="shared" ref="AD17:AD29" si="5">V17-AC17</f>
        <v>5.9999999939464033E-3</v>
      </c>
    </row>
    <row r="18" spans="1:30" s="49" customFormat="1" ht="63.75" customHeight="1" thickBot="1">
      <c r="A18" s="32">
        <v>1</v>
      </c>
      <c r="B18" s="60" t="s">
        <v>28</v>
      </c>
      <c r="C18" s="60" t="s">
        <v>403</v>
      </c>
      <c r="D18" s="60">
        <v>2003</v>
      </c>
      <c r="E18" s="60"/>
      <c r="F18" s="61">
        <v>2990</v>
      </c>
      <c r="G18" s="60">
        <v>6.66</v>
      </c>
      <c r="H18" s="33">
        <f>'ТСЖ 4 кв.2023г.'!H18-'ТСЖ 4 кв.2023г.'!I18+X18+V18+W18</f>
        <v>249144.93000000014</v>
      </c>
      <c r="I18" s="33">
        <f t="shared" si="0"/>
        <v>42480.57</v>
      </c>
      <c r="J18" s="33">
        <f>'ТСЖ 4 кв.2023г.'!J18+Z18+AA18+X18</f>
        <v>1838593.2299999991</v>
      </c>
      <c r="K18" s="33">
        <f>'ТСЖ 4 кв.2023г.'!K18+'ТСЖ 1 кв.2024г.'!I18+X18</f>
        <v>1688866.81</v>
      </c>
      <c r="L18" s="43"/>
      <c r="M18" s="66"/>
      <c r="N18" s="33">
        <f>'ТСЖ 4 кв.2023г.'!N18</f>
        <v>731630</v>
      </c>
      <c r="O18" s="121">
        <f t="shared" si="1"/>
        <v>957236.81</v>
      </c>
      <c r="P18" s="44">
        <v>378042.71</v>
      </c>
      <c r="Q18" s="65">
        <f t="shared" ref="Q18:Q28" si="6">K18/J18*100</f>
        <v>91.856468437012623</v>
      </c>
      <c r="S18" s="48">
        <f t="shared" si="2"/>
        <v>149726.41999999899</v>
      </c>
      <c r="T18" s="48">
        <f t="shared" si="3"/>
        <v>206664.36000000013</v>
      </c>
      <c r="V18" s="124">
        <v>59740.32</v>
      </c>
      <c r="W18" s="124">
        <v>2886.12</v>
      </c>
      <c r="X18" s="125"/>
      <c r="Y18" s="125"/>
      <c r="Z18" s="124">
        <v>42471.67</v>
      </c>
      <c r="AA18" s="124">
        <v>8.9</v>
      </c>
      <c r="AB18" s="48"/>
      <c r="AC18" s="49">
        <f t="shared" si="4"/>
        <v>59740.200000000004</v>
      </c>
      <c r="AD18" s="48">
        <f t="shared" si="5"/>
        <v>0.11999999999534339</v>
      </c>
    </row>
    <row r="19" spans="1:30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6.66</v>
      </c>
      <c r="H19" s="33">
        <f>'ТСЖ 4 кв.2023г.'!H19-'ТСЖ 4 кв.2023г.'!I19+X19+V19+W19</f>
        <v>106804.24</v>
      </c>
      <c r="I19" s="33">
        <f t="shared" si="0"/>
        <v>58643.659999999996</v>
      </c>
      <c r="J19" s="33">
        <f>'ТСЖ 4 кв.2023г.'!J19+Z19+AA19+X19</f>
        <v>1164197.27</v>
      </c>
      <c r="K19" s="33">
        <f>'ТСЖ 4 кв.2023г.'!K19+'ТСЖ 1 кв.2024г.'!I19+X19</f>
        <v>1023067.31</v>
      </c>
      <c r="L19" s="43"/>
      <c r="M19" s="66"/>
      <c r="N19" s="33">
        <f>'ТСЖ 4 кв.2023г.'!N19</f>
        <v>230810</v>
      </c>
      <c r="O19" s="105">
        <f t="shared" si="1"/>
        <v>792257.31</v>
      </c>
      <c r="P19" s="44">
        <v>252978.03</v>
      </c>
      <c r="Q19" s="46">
        <f>K19/J19*100</f>
        <v>87.877487463958744</v>
      </c>
      <c r="S19" s="93">
        <f t="shared" si="2"/>
        <v>141129.95999999996</v>
      </c>
      <c r="T19" s="93">
        <f t="shared" si="3"/>
        <v>48160.580000000009</v>
      </c>
      <c r="V19" s="124">
        <v>33938.01</v>
      </c>
      <c r="W19" s="124">
        <v>1125.1400000000001</v>
      </c>
      <c r="X19" s="126"/>
      <c r="Y19" s="126"/>
      <c r="Z19" s="124">
        <f>57140.2+911.13</f>
        <v>58051.329999999994</v>
      </c>
      <c r="AA19" s="124">
        <v>592.33000000000004</v>
      </c>
      <c r="AB19" s="48"/>
      <c r="AC19" s="49">
        <f t="shared" si="4"/>
        <v>33938.027999999998</v>
      </c>
      <c r="AD19" s="48">
        <f t="shared" si="5"/>
        <v>-1.7999999996391125E-2</v>
      </c>
    </row>
    <row r="20" spans="1:30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6.66</v>
      </c>
      <c r="H20" s="33">
        <f>'ТСЖ 4 кв.2023г.'!H20-'ТСЖ 4 кв.2023г.'!I20+X20+V20+W20</f>
        <v>81719.179999999993</v>
      </c>
      <c r="I20" s="33">
        <f t="shared" si="0"/>
        <v>22396.86</v>
      </c>
      <c r="J20" s="33">
        <f>'ТСЖ 4 кв.2023г.'!J20+Z20+AA20+X20</f>
        <v>727070.57999999984</v>
      </c>
      <c r="K20" s="33">
        <f>'ТСЖ 4 кв.2023г.'!K20+'ТСЖ 1 кв.2024г.'!I20+X20</f>
        <v>690065.12999999989</v>
      </c>
      <c r="L20" s="43"/>
      <c r="M20" s="66"/>
      <c r="N20" s="33">
        <f>'ТСЖ 4 кв.2023г.'!N20</f>
        <v>208003.99</v>
      </c>
      <c r="O20" s="121">
        <f t="shared" si="1"/>
        <v>482061.1399999999</v>
      </c>
      <c r="P20" s="74">
        <v>124839.69</v>
      </c>
      <c r="Q20" s="46">
        <f t="shared" si="6"/>
        <v>94.910335940150418</v>
      </c>
      <c r="S20" s="93">
        <f t="shared" si="2"/>
        <v>37005.449999999953</v>
      </c>
      <c r="T20" s="93">
        <f t="shared" si="3"/>
        <v>59322.319999999992</v>
      </c>
      <c r="V20" s="124">
        <v>23756.19</v>
      </c>
      <c r="W20" s="124">
        <v>865.03</v>
      </c>
      <c r="X20" s="126"/>
      <c r="Y20" s="126"/>
      <c r="Z20" s="124">
        <v>22396.86</v>
      </c>
      <c r="AA20" s="124"/>
      <c r="AB20" s="48"/>
      <c r="AC20" s="49">
        <f t="shared" si="4"/>
        <v>23756.22</v>
      </c>
      <c r="AD20" s="48">
        <f t="shared" si="5"/>
        <v>-3.0000000002473826E-2</v>
      </c>
    </row>
    <row r="21" spans="1:30" s="92" customFormat="1" ht="52.5" customHeight="1" thickBot="1">
      <c r="A21" s="32">
        <v>1</v>
      </c>
      <c r="B21" s="60" t="s">
        <v>28</v>
      </c>
      <c r="C21" s="60" t="s">
        <v>391</v>
      </c>
      <c r="D21" s="60">
        <v>2012</v>
      </c>
      <c r="E21" s="60"/>
      <c r="F21" s="61">
        <v>2427.8000000000002</v>
      </c>
      <c r="G21" s="60">
        <v>6.66</v>
      </c>
      <c r="H21" s="33">
        <f>'ТСЖ 4 кв.2023г.'!H21-'ТСЖ 4 кв.2023г.'!I21+X21+V21+W21</f>
        <v>185666.36000000002</v>
      </c>
      <c r="I21" s="33">
        <f t="shared" si="0"/>
        <v>40556</v>
      </c>
      <c r="J21" s="33">
        <f>'ТСЖ 4 кв.2023г.'!J21+Z21+AA21+X21</f>
        <v>1477997.4099999997</v>
      </c>
      <c r="K21" s="33">
        <f>'ТСЖ 4 кв.2023г.'!K21+'ТСЖ 1 кв.2024г.'!I21+X21</f>
        <v>1378060.67</v>
      </c>
      <c r="L21" s="43"/>
      <c r="M21" s="66"/>
      <c r="N21" s="33">
        <f>'ТСЖ 4 кв.2023г.'!N21</f>
        <v>0</v>
      </c>
      <c r="O21" s="121">
        <f t="shared" si="1"/>
        <v>1378060.67</v>
      </c>
      <c r="P21" s="44">
        <v>388089.32</v>
      </c>
      <c r="Q21" s="65">
        <f t="shared" si="6"/>
        <v>93.23836839470512</v>
      </c>
      <c r="S21" s="93">
        <f t="shared" si="2"/>
        <v>99936.739999999758</v>
      </c>
      <c r="T21" s="93">
        <f t="shared" si="3"/>
        <v>145110.36000000002</v>
      </c>
      <c r="V21" s="124">
        <f>48507.39-5333.92</f>
        <v>43173.47</v>
      </c>
      <c r="W21" s="124">
        <v>2222.7399999999998</v>
      </c>
      <c r="X21" s="126"/>
      <c r="Y21" s="126"/>
      <c r="Z21" s="124">
        <v>40487.93</v>
      </c>
      <c r="AA21" s="124">
        <v>68.069999999999993</v>
      </c>
      <c r="AB21" s="48"/>
      <c r="AC21" s="49">
        <f t="shared" si="4"/>
        <v>48507.444000000003</v>
      </c>
      <c r="AD21" s="48">
        <f t="shared" si="5"/>
        <v>-5333.974000000002</v>
      </c>
    </row>
    <row r="22" spans="1:30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6.66</v>
      </c>
      <c r="H22" s="33">
        <f>'ТСЖ 4 кв.2023г.'!H22-'ТСЖ 4 кв.2023г.'!I22+X22+V22+W22</f>
        <v>114297.97000000004</v>
      </c>
      <c r="I22" s="33">
        <f t="shared" si="0"/>
        <v>56517.75</v>
      </c>
      <c r="J22" s="33">
        <f>'ТСЖ 4 кв.2023г.'!J22+Z22+AA22+X22</f>
        <v>1314858.2200000004</v>
      </c>
      <c r="K22" s="33">
        <f>'ТСЖ 4 кв.2023г.'!K22+'ТСЖ 1 кв.2024г.'!I22+X22</f>
        <v>1253011.2</v>
      </c>
      <c r="L22" s="43"/>
      <c r="M22" s="66"/>
      <c r="N22" s="33">
        <f>'ТСЖ 4 кв.2023г.'!N22</f>
        <v>454457.47</v>
      </c>
      <c r="O22" s="121">
        <f t="shared" si="1"/>
        <v>798553.73</v>
      </c>
      <c r="P22" s="74">
        <v>223464.31</v>
      </c>
      <c r="Q22" s="46">
        <f>K22/J22*100</f>
        <v>95.296297421329541</v>
      </c>
      <c r="S22" s="93">
        <f t="shared" si="2"/>
        <v>61847.020000000484</v>
      </c>
      <c r="T22" s="93">
        <f t="shared" si="3"/>
        <v>57780.220000000045</v>
      </c>
      <c r="V22" s="124">
        <v>41516.519999999997</v>
      </c>
      <c r="W22" s="124">
        <v>1422.36</v>
      </c>
      <c r="X22" s="126"/>
      <c r="Y22" s="126"/>
      <c r="Z22" s="124">
        <v>55846.67</v>
      </c>
      <c r="AA22" s="124">
        <v>671.08</v>
      </c>
      <c r="AB22" s="48"/>
      <c r="AC22" s="49">
        <f t="shared" si="4"/>
        <v>41516.442000000003</v>
      </c>
      <c r="AD22" s="48">
        <f t="shared" si="5"/>
        <v>7.7999999994062819E-2</v>
      </c>
    </row>
    <row r="23" spans="1:30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6.66</v>
      </c>
      <c r="H23" s="33">
        <f>'ТСЖ 4 кв.2023г.'!H23-'ТСЖ 4 кв.2023г.'!I23+X23+V23+W23</f>
        <v>60209.33</v>
      </c>
      <c r="I23" s="33">
        <f t="shared" si="0"/>
        <v>41635.859999999993</v>
      </c>
      <c r="J23" s="33">
        <f>'ТСЖ 4 кв.2023г.'!J23+Z23+AA23+X23</f>
        <v>1290813.6399999997</v>
      </c>
      <c r="K23" s="33">
        <f>'ТСЖ 4 кв.2023г.'!K23+'ТСЖ 1 кв.2024г.'!I23+X23</f>
        <v>1285878.1300000001</v>
      </c>
      <c r="L23" s="43"/>
      <c r="M23" s="66"/>
      <c r="N23" s="33">
        <f>'ТСЖ 4 кв.2023г.'!N23</f>
        <v>435700.47000000003</v>
      </c>
      <c r="O23" s="105">
        <f t="shared" si="1"/>
        <v>850177.66000000015</v>
      </c>
      <c r="P23" s="78">
        <v>243907.98</v>
      </c>
      <c r="Q23" s="46">
        <f t="shared" si="6"/>
        <v>99.617643488799857</v>
      </c>
      <c r="S23" s="93">
        <f t="shared" si="2"/>
        <v>4935.5099999995437</v>
      </c>
      <c r="T23" s="93">
        <f t="shared" si="3"/>
        <v>18573.470000000008</v>
      </c>
      <c r="V23" s="124">
        <v>41688.239999999998</v>
      </c>
      <c r="W23" s="124">
        <v>260.77999999999997</v>
      </c>
      <c r="X23" s="126"/>
      <c r="Y23" s="126"/>
      <c r="Z23" s="124">
        <v>41635.519999999997</v>
      </c>
      <c r="AA23" s="124">
        <v>0.34</v>
      </c>
      <c r="AB23" s="48"/>
      <c r="AC23" s="49">
        <f t="shared" si="4"/>
        <v>41688.270000000004</v>
      </c>
      <c r="AD23" s="48">
        <f t="shared" si="5"/>
        <v>-3.0000000006111804E-2</v>
      </c>
    </row>
    <row r="24" spans="1:30" s="92" customFormat="1" ht="30.75" thickBot="1">
      <c r="A24" s="32">
        <v>1</v>
      </c>
      <c r="B24" s="60" t="s">
        <v>28</v>
      </c>
      <c r="C24" s="60" t="s">
        <v>394</v>
      </c>
      <c r="D24" s="60">
        <v>1996</v>
      </c>
      <c r="E24" s="60"/>
      <c r="F24" s="61">
        <v>2824.4</v>
      </c>
      <c r="G24" s="60">
        <v>6.66</v>
      </c>
      <c r="H24" s="33">
        <f>'ТСЖ 4 кв.2023г.'!H24-'ТСЖ 4 кв.2023г.'!I24+X24+V24+W24</f>
        <v>269435.67</v>
      </c>
      <c r="I24" s="33">
        <f>Z24+AA24+U24</f>
        <v>44212.45</v>
      </c>
      <c r="J24" s="33">
        <f>'ТСЖ 4 кв.2023г.'!J24+Z24+AA24+X24</f>
        <v>1769876.3800000006</v>
      </c>
      <c r="K24" s="33">
        <f>'ТСЖ 4 кв.2023г.'!K24+'ТСЖ 1 кв.2024г.'!I24+X24</f>
        <v>1584934.9900000002</v>
      </c>
      <c r="L24" s="43"/>
      <c r="M24" s="66"/>
      <c r="N24" s="33">
        <f>'ТСЖ 4 кв.2023г.'!N24</f>
        <v>124391</v>
      </c>
      <c r="O24" s="105">
        <f t="shared" si="1"/>
        <v>1460543.9900000002</v>
      </c>
      <c r="P24" s="44">
        <v>420551</v>
      </c>
      <c r="Q24" s="65">
        <f>K24/J24*100</f>
        <v>89.550604093603397</v>
      </c>
      <c r="S24" s="93">
        <f>J24-K24+3064.16</f>
        <v>188005.55000000037</v>
      </c>
      <c r="T24" s="93">
        <f t="shared" si="3"/>
        <v>225223.21999999997</v>
      </c>
      <c r="U24" s="128">
        <v>1771.81</v>
      </c>
      <c r="V24" s="124">
        <f>56431.5</f>
        <v>56431.5</v>
      </c>
      <c r="W24" s="124">
        <v>3893.72</v>
      </c>
      <c r="X24" s="126"/>
      <c r="Y24" s="126"/>
      <c r="Z24" s="124">
        <v>42158.13</v>
      </c>
      <c r="AA24" s="124">
        <v>282.51</v>
      </c>
      <c r="AB24" s="48"/>
      <c r="AC24" s="49">
        <f t="shared" si="4"/>
        <v>56431.512000000002</v>
      </c>
      <c r="AD24" s="48">
        <f t="shared" si="5"/>
        <v>-1.2000000002444722E-2</v>
      </c>
    </row>
    <row r="25" spans="1:30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6.66</v>
      </c>
      <c r="H25" s="33">
        <f>'ТСЖ 4 кв.2023г.'!H25-'ТСЖ 4 кв.2023г.'!I25+X25+V25+W25</f>
        <v>58961.35</v>
      </c>
      <c r="I25" s="33">
        <f t="shared" si="0"/>
        <v>18283.240000000002</v>
      </c>
      <c r="J25" s="33">
        <f>'ТСЖ 4 кв.2023г.'!J25+Z25+AA25+X25</f>
        <v>708701.2300000001</v>
      </c>
      <c r="K25" s="33">
        <f>'ТСЖ 4 кв.2023г.'!K25+'ТСЖ 1 кв.2024г.'!I25+X25</f>
        <v>673760.37000000011</v>
      </c>
      <c r="L25" s="43"/>
      <c r="M25" s="66"/>
      <c r="N25" s="33">
        <f>'ТСЖ 4 кв.2023г.'!N25</f>
        <v>248930</v>
      </c>
      <c r="O25" s="121">
        <f t="shared" si="1"/>
        <v>424830.37000000011</v>
      </c>
      <c r="P25" s="44">
        <v>146097.04999999999</v>
      </c>
      <c r="Q25" s="46">
        <f t="shared" si="6"/>
        <v>95.069733405147332</v>
      </c>
      <c r="S25" s="93">
        <f t="shared" si="2"/>
        <v>34940.859999999986</v>
      </c>
      <c r="T25" s="93">
        <f t="shared" si="3"/>
        <v>40678.11</v>
      </c>
      <c r="U25" s="93"/>
      <c r="V25" s="124">
        <v>22677.27</v>
      </c>
      <c r="W25" s="124">
        <v>736.82</v>
      </c>
      <c r="X25" s="126"/>
      <c r="Y25" s="126"/>
      <c r="Z25" s="124">
        <v>18279.54</v>
      </c>
      <c r="AA25" s="124">
        <v>3.7</v>
      </c>
      <c r="AB25" s="48"/>
      <c r="AC25" s="49">
        <f t="shared" si="4"/>
        <v>22677.300000000003</v>
      </c>
      <c r="AD25" s="48">
        <f t="shared" si="5"/>
        <v>-3.0000000002473826E-2</v>
      </c>
    </row>
    <row r="26" spans="1:30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6.66</v>
      </c>
      <c r="H26" s="33">
        <f>'ТСЖ 4 кв.2023г.'!H26-'ТСЖ 4 кв.2023г.'!I26+X26+V26+W26</f>
        <v>214006.15999999986</v>
      </c>
      <c r="I26" s="33">
        <f t="shared" si="0"/>
        <v>26134.43</v>
      </c>
      <c r="J26" s="33">
        <f>'ТСЖ 4 кв.2023г.'!J26+Z26+AA26+X26</f>
        <v>1303958.4200000002</v>
      </c>
      <c r="K26" s="33">
        <f>'ТСЖ 4 кв.2023г.'!K26+'ТСЖ 1 кв.2024г.'!I26+X26</f>
        <v>1160727.56</v>
      </c>
      <c r="L26" s="43"/>
      <c r="M26" s="66"/>
      <c r="N26" s="33">
        <f>'ТСЖ 4 кв.2023г.'!N26</f>
        <v>532320</v>
      </c>
      <c r="O26" s="105">
        <f t="shared" si="1"/>
        <v>628407.56000000006</v>
      </c>
      <c r="P26" s="44">
        <v>235115.53</v>
      </c>
      <c r="Q26" s="46">
        <f>K26/J26*100</f>
        <v>89.015688092262934</v>
      </c>
      <c r="S26" s="93">
        <f t="shared" si="2"/>
        <v>143230.8600000001</v>
      </c>
      <c r="T26" s="93">
        <f t="shared" si="3"/>
        <v>187871.72999999986</v>
      </c>
      <c r="V26" s="124">
        <v>42343.68</v>
      </c>
      <c r="W26" s="124">
        <v>3163.3</v>
      </c>
      <c r="X26" s="126"/>
      <c r="Y26" s="126"/>
      <c r="Z26" s="124">
        <f>26433.79-300</f>
        <v>26133.79</v>
      </c>
      <c r="AA26" s="124">
        <v>0.64</v>
      </c>
      <c r="AB26" s="48"/>
      <c r="AC26" s="49">
        <f t="shared" si="4"/>
        <v>42343.614000000009</v>
      </c>
      <c r="AD26" s="48">
        <f t="shared" si="5"/>
        <v>6.5999999991618097E-2</v>
      </c>
    </row>
    <row r="27" spans="1:30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6.66</v>
      </c>
      <c r="H27" s="33">
        <f>'ТСЖ 4 кв.2023г.'!H27-'ТСЖ 4 кв.2023г.'!I27+X27+V27+W27</f>
        <v>181313.02999999994</v>
      </c>
      <c r="I27" s="33">
        <f t="shared" si="0"/>
        <v>26575.18</v>
      </c>
      <c r="J27" s="33">
        <f>'ТСЖ 4 кв.2023г.'!J27+Z27+AA27+X27</f>
        <v>1306862.2200000002</v>
      </c>
      <c r="K27" s="33">
        <f>'ТСЖ 4 кв.2023г.'!K27+'ТСЖ 1 кв.2024г.'!I27+X27</f>
        <v>1174519.4100000001</v>
      </c>
      <c r="L27" s="43"/>
      <c r="M27" s="66"/>
      <c r="N27" s="33">
        <f>'ТСЖ 4 кв.2023г.'!N27</f>
        <v>475020</v>
      </c>
      <c r="O27" s="121">
        <f t="shared" si="1"/>
        <v>699499.41000000015</v>
      </c>
      <c r="P27" s="44">
        <v>287247.24</v>
      </c>
      <c r="Q27" s="46">
        <f>K27/J27*100</f>
        <v>89.87323927689944</v>
      </c>
      <c r="S27" s="93">
        <f t="shared" si="2"/>
        <v>132342.81000000006</v>
      </c>
      <c r="T27" s="93">
        <f t="shared" si="3"/>
        <v>154737.84999999995</v>
      </c>
      <c r="V27" s="124">
        <v>41848.11</v>
      </c>
      <c r="W27" s="124">
        <v>2414.2199999999998</v>
      </c>
      <c r="X27" s="126"/>
      <c r="Y27" s="126"/>
      <c r="Z27" s="124">
        <v>26575.03</v>
      </c>
      <c r="AA27" s="124">
        <v>0.15</v>
      </c>
      <c r="AB27" s="48"/>
      <c r="AC27" s="49">
        <f t="shared" si="4"/>
        <v>41848.11</v>
      </c>
      <c r="AD27" s="48">
        <f t="shared" si="5"/>
        <v>0</v>
      </c>
    </row>
    <row r="28" spans="1:30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6.66</v>
      </c>
      <c r="H28" s="33">
        <f>'ТСЖ 4 кв.2023г.'!H28-'ТСЖ 4 кв.2023г.'!I28+X28+V28+W28</f>
        <v>222594.24000000005</v>
      </c>
      <c r="I28" s="33">
        <f>Z28+AA28+U28</f>
        <v>57499.820000000007</v>
      </c>
      <c r="J28" s="33">
        <f>'ТСЖ 4 кв.2023г.'!J28+Z28+AA28+X28</f>
        <v>1981658.2100000004</v>
      </c>
      <c r="K28" s="33">
        <f>'ТСЖ 4 кв.2023г.'!K28+'ТСЖ 1 кв.2024г.'!I28+X28</f>
        <v>1862898.8999999994</v>
      </c>
      <c r="L28" s="43"/>
      <c r="M28" s="66"/>
      <c r="N28" s="33">
        <f>'ТСЖ 4 кв.2023г.'!N28</f>
        <v>774822</v>
      </c>
      <c r="O28" s="105">
        <f t="shared" si="1"/>
        <v>1088076.8999999994</v>
      </c>
      <c r="P28" s="44">
        <v>354498.41</v>
      </c>
      <c r="Q28" s="46">
        <f t="shared" si="6"/>
        <v>94.007074004956635</v>
      </c>
      <c r="S28" s="93">
        <f t="shared" si="2"/>
        <v>118759.31000000099</v>
      </c>
      <c r="T28" s="93">
        <f t="shared" si="3"/>
        <v>165094.42000000004</v>
      </c>
      <c r="U28" s="127">
        <v>1296.3699999999999</v>
      </c>
      <c r="V28" s="124">
        <f>64447.44-14178.56</f>
        <v>50268.880000000005</v>
      </c>
      <c r="W28" s="124">
        <v>3177.69</v>
      </c>
      <c r="X28" s="126"/>
      <c r="Y28" s="126"/>
      <c r="Z28" s="124">
        <v>56183.08</v>
      </c>
      <c r="AA28" s="124">
        <v>20.37</v>
      </c>
      <c r="AB28" s="48"/>
      <c r="AC28" s="49">
        <f t="shared" si="4"/>
        <v>64447.487999999998</v>
      </c>
      <c r="AD28" s="48">
        <f t="shared" si="5"/>
        <v>-14178.607999999993</v>
      </c>
    </row>
    <row r="29" spans="1:30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6.66</v>
      </c>
      <c r="H29" s="33">
        <f>'ТСЖ 4 кв.2023г.'!H29-'ТСЖ 4 кв.2023г.'!I29+X29+V29+W29</f>
        <v>195826.94999999987</v>
      </c>
      <c r="I29" s="33">
        <f t="shared" si="0"/>
        <v>44690.149999999994</v>
      </c>
      <c r="J29" s="33">
        <f>'ТСЖ 4 кв.2023г.'!J29+Z29+AA29+X29</f>
        <v>1329717.1699999995</v>
      </c>
      <c r="K29" s="33">
        <f>'ТСЖ 4 кв.2023г.'!K29+'ТСЖ 1 кв.2024г.'!I29+X29</f>
        <v>1204222.31</v>
      </c>
      <c r="L29" s="43"/>
      <c r="M29" s="66"/>
      <c r="N29" s="33">
        <f>'ТСЖ 4 кв.2023г.'!N29</f>
        <v>721587</v>
      </c>
      <c r="O29" s="105">
        <f t="shared" si="1"/>
        <v>482635.31000000006</v>
      </c>
      <c r="P29" s="44">
        <v>309141.18</v>
      </c>
      <c r="Q29" s="46">
        <f>K29/J29*100</f>
        <v>90.56228927238719</v>
      </c>
      <c r="S29" s="48">
        <f t="shared" si="2"/>
        <v>125494.8599999994</v>
      </c>
      <c r="T29" s="48">
        <f t="shared" si="3"/>
        <v>151136.79999999987</v>
      </c>
      <c r="V29" s="124">
        <v>42667.29</v>
      </c>
      <c r="W29" s="124">
        <v>2668.11</v>
      </c>
      <c r="X29" s="125"/>
      <c r="Y29" s="125"/>
      <c r="Z29" s="124">
        <v>43711.13</v>
      </c>
      <c r="AA29" s="124">
        <v>979.02</v>
      </c>
      <c r="AB29" s="48"/>
      <c r="AC29" s="49">
        <f t="shared" si="4"/>
        <v>42667.29</v>
      </c>
      <c r="AD29" s="48">
        <f t="shared" si="5"/>
        <v>0</v>
      </c>
    </row>
    <row r="30" spans="1:30" ht="12.75" customHeight="1">
      <c r="A30" s="2"/>
      <c r="O30" s="137">
        <f>SUM(O15:O29)</f>
        <v>13805911.960000003</v>
      </c>
      <c r="S30" s="3">
        <f>SUM(S15:S29)</f>
        <v>1761058.5100000005</v>
      </c>
      <c r="V30" s="3"/>
      <c r="W30" s="3"/>
      <c r="Z30" s="3">
        <f>SUM(Z15:Z29)</f>
        <v>614648.66999999993</v>
      </c>
      <c r="AA30" s="3">
        <f>SUM(AA15:AA29)</f>
        <v>3750.2000000000003</v>
      </c>
    </row>
    <row r="31" spans="1:30" ht="15.75">
      <c r="A31" s="4" t="s">
        <v>76</v>
      </c>
      <c r="C31" s="17"/>
      <c r="D31" s="17"/>
      <c r="E31" s="17"/>
      <c r="F31" s="17"/>
      <c r="G31" s="17"/>
      <c r="H31" s="17"/>
      <c r="I31" s="26"/>
      <c r="V31" s="3"/>
      <c r="W31" s="3"/>
      <c r="X31" s="3"/>
    </row>
    <row r="32" spans="1:30" ht="18.75" customHeight="1">
      <c r="A32" s="2"/>
      <c r="B32" s="107" t="s">
        <v>164</v>
      </c>
      <c r="C32" s="182" t="s">
        <v>448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t="15.75">
      <c r="A33" s="2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27" s="27" customFormat="1" ht="15.75">
      <c r="A34" s="123" t="str">
        <f>'УК 1 кв. 2024г.'!A39</f>
        <v>05 апреля 2024г.</v>
      </c>
      <c r="I34" s="28"/>
      <c r="Z34" s="28"/>
      <c r="AA34" s="28"/>
    </row>
    <row r="35" spans="1:27" s="27" customFormat="1" ht="15.75">
      <c r="A35" s="4"/>
      <c r="I35" s="28"/>
      <c r="Z35" s="28"/>
      <c r="AA35" s="28"/>
    </row>
    <row r="36" spans="1:27" s="27" customFormat="1" ht="15.75">
      <c r="A36" s="4"/>
      <c r="I36" s="28"/>
      <c r="Z36" s="28"/>
      <c r="AA36" s="28"/>
    </row>
    <row r="37" spans="1:27" s="27" customFormat="1" ht="15.75">
      <c r="A37" s="4" t="s">
        <v>47</v>
      </c>
      <c r="I37" s="28"/>
      <c r="Z37" s="28"/>
      <c r="AA37" s="28"/>
    </row>
    <row r="38" spans="1:27" s="27" customFormat="1" ht="15.75">
      <c r="A38" s="30" t="s">
        <v>48</v>
      </c>
      <c r="I38" s="28"/>
      <c r="Z38" s="28"/>
      <c r="AA38" s="28"/>
    </row>
    <row r="39" spans="1:27">
      <c r="A39" s="1"/>
    </row>
    <row r="40" spans="1:27">
      <c r="A40" s="1"/>
      <c r="K40" s="3"/>
    </row>
    <row r="41" spans="1:27">
      <c r="A41" s="1"/>
    </row>
    <row r="42" spans="1:27">
      <c r="A42" s="1"/>
    </row>
    <row r="43" spans="1:27">
      <c r="A43" s="1"/>
    </row>
    <row r="44" spans="1:27">
      <c r="A44" s="1"/>
    </row>
    <row r="45" spans="1:27">
      <c r="A45" s="1"/>
    </row>
    <row r="46" spans="1:27">
      <c r="A46" s="1"/>
    </row>
    <row r="47" spans="1:27">
      <c r="A47" s="1"/>
    </row>
    <row r="48" spans="1:27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autoFilter ref="A13:AA32">
    <filterColumn colId="2">
      <filters blank="1">
        <filter val="Справка об остатках денежных средств на  расчетных счетах по состоянию на 31.03.2024 № 5 от 05.04.2024г."/>
        <filter val="ул. Депутатская, дом № 75"/>
        <filter val="ул. Депутатская, дом № 75/1"/>
        <filter val="ул. Депутатская, дом № 77"/>
        <filter val="ул. Депутатская, дом № 79"/>
        <filter val="ул. Депутатская, дом № 81"/>
        <filter val="ул. Иркутской 30 дивизии, дом № 6"/>
        <filter val="ул. Иркутской 30 дивизии, дом № 8"/>
        <filter val="ул. Красноказачья, дом № 120/1"/>
        <filter val="ул. Красноказачья, дом № 120/3"/>
        <filter val="ул. Красноказачья, дом № 120/4"/>
        <filter val="ул. Станиславского дом № 25"/>
        <filter val="ул. Станиславского дом № 27"/>
        <filter val="ул. Станиславского дом № 29"/>
        <filter val="ул. Станиславского, дом № 31"/>
        <filter val="ул. Станиславского, дом № 33"/>
      </filters>
    </filterColumn>
  </autoFilter>
  <mergeCells count="25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C32:O32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2"/>
  <sheetViews>
    <sheetView topLeftCell="F3" zoomScaleNormal="100" workbookViewId="0">
      <selection activeCell="O10" sqref="O10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24" width="9.140625" style="13"/>
    <col min="25" max="25" width="11.42578125" style="3" bestFit="1" customWidth="1"/>
    <col min="26" max="26" width="9.28515625" style="3" bestFit="1" customWidth="1"/>
    <col min="27" max="27" width="8.85546875"/>
    <col min="28" max="28" width="12.28515625" customWidth="1"/>
    <col min="29" max="16384" width="9.140625" style="13"/>
  </cols>
  <sheetData>
    <row r="1" spans="1:28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Y1" s="26"/>
      <c r="Z1" s="26"/>
      <c r="AA1" s="17"/>
      <c r="AB1" s="17"/>
    </row>
    <row r="2" spans="1:28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Y2" s="26"/>
      <c r="Z2" s="26"/>
    </row>
    <row r="3" spans="1:28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  <c r="Y3" s="37"/>
      <c r="Z3" s="37"/>
      <c r="AA3" s="13"/>
      <c r="AB3" s="13"/>
    </row>
    <row r="4" spans="1:28" ht="15.75">
      <c r="A4" s="158" t="s">
        <v>444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Y4" s="37"/>
      <c r="Z4" s="37"/>
      <c r="AA4" s="13"/>
      <c r="AB4" s="13"/>
    </row>
    <row r="5" spans="1:28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  <c r="Y5" s="37"/>
      <c r="Z5" s="37"/>
      <c r="AA5" s="13"/>
      <c r="AB5" s="13"/>
    </row>
    <row r="6" spans="1:28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  <c r="Y6" s="37"/>
      <c r="Z6" s="37"/>
      <c r="AA6" s="13"/>
      <c r="AB6" s="13"/>
    </row>
    <row r="7" spans="1:28" ht="15.75">
      <c r="A7" s="1" t="s">
        <v>7</v>
      </c>
      <c r="D7" s="18" t="s">
        <v>51</v>
      </c>
      <c r="E7" s="17"/>
      <c r="F7" s="17"/>
      <c r="G7" s="17"/>
      <c r="H7" s="17"/>
      <c r="Y7" s="37"/>
      <c r="Z7" s="37"/>
      <c r="AA7" s="13"/>
      <c r="AB7" s="13"/>
    </row>
    <row r="8" spans="1:28">
      <c r="A8" s="1" t="s">
        <v>8</v>
      </c>
      <c r="Y8" s="37"/>
      <c r="Z8" s="37"/>
      <c r="AA8" s="13"/>
      <c r="AB8" s="13"/>
    </row>
    <row r="9" spans="1:28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  <c r="Y9" s="37"/>
      <c r="Z9" s="37"/>
      <c r="AA9" s="13"/>
      <c r="AB9" s="13"/>
    </row>
    <row r="10" spans="1:28" ht="15.75">
      <c r="A10" s="18" t="s">
        <v>61</v>
      </c>
      <c r="Y10" s="37"/>
      <c r="Z10" s="37"/>
      <c r="AA10" s="13"/>
      <c r="AB10" s="13"/>
    </row>
    <row r="11" spans="1:28" ht="15.75">
      <c r="A11" s="18" t="s">
        <v>62</v>
      </c>
      <c r="Y11" s="39"/>
      <c r="Z11" s="39"/>
      <c r="AA11" s="38"/>
      <c r="AB11" s="38"/>
    </row>
    <row r="12" spans="1:28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  <c r="Y12" s="39"/>
      <c r="Z12" s="39"/>
      <c r="AA12" s="38"/>
      <c r="AB12" s="38"/>
    </row>
    <row r="13" spans="1:28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  <c r="Y13" s="39"/>
      <c r="Z13" s="39"/>
      <c r="AA13" s="38"/>
      <c r="AB13" s="38"/>
    </row>
    <row r="14" spans="1:28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  <c r="Y14" s="39" t="s">
        <v>388</v>
      </c>
      <c r="Z14" s="39" t="s">
        <v>427</v>
      </c>
      <c r="AA14" s="14"/>
      <c r="AB14" s="14"/>
    </row>
    <row r="15" spans="1:28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  <c r="Y15" s="48"/>
      <c r="Z15" s="48"/>
      <c r="AA15" s="49"/>
      <c r="AB15" s="49"/>
    </row>
    <row r="16" spans="1:28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6.66</v>
      </c>
      <c r="H16" s="33">
        <f>'УК 4 кв. 2023г.'!H16-'УК 4 кв. 2023г.'!I16+V16+W16+X16</f>
        <v>440480.87999999995</v>
      </c>
      <c r="I16" s="33">
        <f>Y16+Z16</f>
        <v>212326.44</v>
      </c>
      <c r="J16" s="33">
        <f>'УК 4 кв. 2023г.'!J16+'УК 1 кв. 2024г.'!V16+'УК 1 кв. 2024г.'!W16</f>
        <v>5851712.8999999985</v>
      </c>
      <c r="K16" s="33">
        <f>'УК 4 кв. 2023г.'!K16+'УК 1 кв. 2024г.'!I16</f>
        <v>5704335.1500000004</v>
      </c>
      <c r="L16" s="64"/>
      <c r="M16" s="47"/>
      <c r="N16" s="33">
        <f>'УК 3 кв. 2023г.'!N16</f>
        <v>894970.86</v>
      </c>
      <c r="O16" s="33">
        <f>K16-N16</f>
        <v>4809364.29</v>
      </c>
      <c r="P16" s="110">
        <f>K16/J16*100</f>
        <v>97.481459659444354</v>
      </c>
      <c r="R16" s="19">
        <f>J16-K16</f>
        <v>147377.74999999814</v>
      </c>
      <c r="S16" s="19">
        <f>H16-I16</f>
        <v>228154.43999999994</v>
      </c>
      <c r="V16" s="129">
        <v>186163.68</v>
      </c>
      <c r="W16" s="129">
        <v>2304.71</v>
      </c>
      <c r="X16" s="130"/>
      <c r="Y16" s="129">
        <v>208725.4</v>
      </c>
      <c r="Z16" s="129">
        <v>3601.04</v>
      </c>
      <c r="AA16" s="48"/>
      <c r="AB16" s="49">
        <f>F16*G16*3</f>
        <v>186163.65000000002</v>
      </c>
    </row>
    <row r="17" spans="1:28" s="15" customFormat="1" ht="37.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3">
        <v>3083.8</v>
      </c>
      <c r="G17" s="32">
        <v>9.34</v>
      </c>
      <c r="H17" s="33">
        <f>'УК 4 кв. 2023г.'!H17-'УК 4 кв. 2023г.'!I17+V17+W17+X17</f>
        <v>177055.09000000011</v>
      </c>
      <c r="I17" s="33">
        <f t="shared" ref="I17:I23" si="0">Y17+Z17</f>
        <v>75900.259999999995</v>
      </c>
      <c r="J17" s="33">
        <f>'УК 4 кв. 2023г.'!J17+'УК 1 кв. 2024г.'!V17+'УК 1 кв. 2024г.'!W17</f>
        <v>1903285.6700000004</v>
      </c>
      <c r="K17" s="33">
        <f>'УК 4 кв. 2023г.'!K17+'УК 1 кв. 2024г.'!I17</f>
        <v>1802130.84</v>
      </c>
      <c r="L17" s="32"/>
      <c r="M17" s="32"/>
      <c r="N17" s="33">
        <f>'УК 3 кв. 2023г.'!N17</f>
        <v>0</v>
      </c>
      <c r="O17" s="33">
        <f>K17-N17</f>
        <v>1802130.84</v>
      </c>
      <c r="P17" s="110">
        <f t="shared" ref="P17:P21" si="1">K17/J17*100</f>
        <v>94.685252372020429</v>
      </c>
      <c r="R17" s="19">
        <f>J17-K17</f>
        <v>101154.83000000031</v>
      </c>
      <c r="S17" s="19">
        <f>H17-I17</f>
        <v>101154.83000000012</v>
      </c>
      <c r="V17" s="129">
        <v>86408.1</v>
      </c>
      <c r="W17" s="129">
        <v>2169.54</v>
      </c>
      <c r="X17" s="130"/>
      <c r="Y17" s="129">
        <v>75854.48</v>
      </c>
      <c r="Z17" s="131">
        <v>45.78</v>
      </c>
      <c r="AA17" s="48"/>
      <c r="AB17" s="49">
        <f>F17*G17*3</f>
        <v>86408.076000000001</v>
      </c>
    </row>
    <row r="18" spans="1:28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9.34</v>
      </c>
      <c r="H18" s="33">
        <f>'УК 4 кв. 2023г.'!H18-'УК 4 кв. 2023г.'!I18+V18+W18+X18</f>
        <v>623813.49</v>
      </c>
      <c r="I18" s="33">
        <f t="shared" si="0"/>
        <v>47694.340000000004</v>
      </c>
      <c r="J18" s="33">
        <f>'УК 4 кв. 2023г.'!J18+'УК 1 кв. 2024г.'!V18+'УК 1 кв. 2024г.'!W18</f>
        <v>2218702.09</v>
      </c>
      <c r="K18" s="33">
        <f>'УК 4 кв. 2023г.'!K18+'УК 1 кв. 2024г.'!I18</f>
        <v>1642582.94</v>
      </c>
      <c r="L18" s="34"/>
      <c r="M18" s="89"/>
      <c r="N18" s="33">
        <f>'УК 3 кв. 2023г.'!N18</f>
        <v>365967</v>
      </c>
      <c r="O18" s="33">
        <f>K18-N18</f>
        <v>1276615.94</v>
      </c>
      <c r="P18" s="110">
        <f t="shared" si="1"/>
        <v>74.033505778146178</v>
      </c>
      <c r="R18" s="19">
        <f>J18-K18</f>
        <v>576119.14999999991</v>
      </c>
      <c r="S18" s="19">
        <f>H18-I18</f>
        <v>576119.15</v>
      </c>
      <c r="V18" s="129">
        <v>70531.92</v>
      </c>
      <c r="W18" s="129">
        <v>9755.82</v>
      </c>
      <c r="X18" s="130"/>
      <c r="Y18" s="129">
        <v>45999.26</v>
      </c>
      <c r="Z18" s="129">
        <v>1695.08</v>
      </c>
      <c r="AA18" s="48"/>
      <c r="AB18" s="49">
        <f t="shared" ref="AB18:AB23" si="2">F18*G18*3</f>
        <v>70531.943999999989</v>
      </c>
    </row>
    <row r="19" spans="1:28" s="15" customFormat="1" ht="33" customHeight="1">
      <c r="A19" s="32">
        <v>1</v>
      </c>
      <c r="B19" s="32" t="s">
        <v>28</v>
      </c>
      <c r="C19" s="103" t="s">
        <v>408</v>
      </c>
      <c r="D19" s="32">
        <v>2012</v>
      </c>
      <c r="E19" s="32"/>
      <c r="F19" s="33">
        <v>2729.9</v>
      </c>
      <c r="G19" s="32">
        <v>9.34</v>
      </c>
      <c r="H19" s="33">
        <f>'УК 4 кв. 2023г.'!H19-'УК 4 кв. 2023г.'!I19+V19+W19+X19</f>
        <v>375765.85999999993</v>
      </c>
      <c r="I19" s="33">
        <f t="shared" si="0"/>
        <v>61563.68</v>
      </c>
      <c r="J19" s="33">
        <f>'УК 4 кв. 2023г.'!J19+'УК 1 кв. 2024г.'!V19+'УК 1 кв. 2024г.'!W19</f>
        <v>2434168.96</v>
      </c>
      <c r="K19" s="33">
        <f>'УК 4 кв. 2023г.'!K19+'УК 1 кв. 2024г.'!I19</f>
        <v>2119966.7799999998</v>
      </c>
      <c r="L19" s="43"/>
      <c r="M19" s="91"/>
      <c r="N19" s="33">
        <f>'УК 3 кв. 2023г.'!N19</f>
        <v>755760.4</v>
      </c>
      <c r="O19" s="33">
        <f t="shared" ref="O19:O23" si="3">K19-N19</f>
        <v>1364206.38</v>
      </c>
      <c r="P19" s="120">
        <f t="shared" si="1"/>
        <v>87.092014352200096</v>
      </c>
      <c r="R19" s="19">
        <f>J19-K19</f>
        <v>314202.18000000017</v>
      </c>
      <c r="S19" s="19">
        <f t="shared" ref="S19:S23" si="4">H19-I19</f>
        <v>314202.17999999993</v>
      </c>
      <c r="U19" s="19"/>
      <c r="V19" s="129">
        <v>76491.899999999994</v>
      </c>
      <c r="W19" s="129">
        <v>6320.56</v>
      </c>
      <c r="X19" s="130"/>
      <c r="Y19" s="129">
        <v>61385.440000000002</v>
      </c>
      <c r="Z19" s="131">
        <v>178.24</v>
      </c>
      <c r="AA19" s="48"/>
      <c r="AB19" s="49">
        <f t="shared" si="2"/>
        <v>76491.797999999995</v>
      </c>
    </row>
    <row r="20" spans="1:28" ht="35.25" customHeight="1">
      <c r="A20" s="32">
        <v>1</v>
      </c>
      <c r="B20" s="32" t="s">
        <v>28</v>
      </c>
      <c r="C20" s="103" t="s">
        <v>409</v>
      </c>
      <c r="D20" s="32">
        <v>2007</v>
      </c>
      <c r="E20" s="32"/>
      <c r="F20" s="33">
        <v>2918.7</v>
      </c>
      <c r="G20" s="32">
        <v>9.34</v>
      </c>
      <c r="H20" s="33">
        <f>'УК 4 кв. 2023г.'!H20-'УК 4 кв. 2023г.'!I20+V20+W20+X20</f>
        <v>104355.97999999997</v>
      </c>
      <c r="I20" s="33">
        <f t="shared" si="0"/>
        <v>85778.2</v>
      </c>
      <c r="J20" s="33">
        <f>'УК 4 кв. 2023г.'!J20+'УК 1 кв. 2024г.'!V20+'УК 1 кв. 2024г.'!W20</f>
        <v>2597578.2899999996</v>
      </c>
      <c r="K20" s="33">
        <f>'УК 4 кв. 2023г.'!K20+'УК 1 кв. 2024г.'!I20</f>
        <v>2325663.9800000004</v>
      </c>
      <c r="L20" s="32"/>
      <c r="M20" s="32"/>
      <c r="N20" s="33">
        <f>'УК 3 кв. 2023г.'!N20</f>
        <v>650595</v>
      </c>
      <c r="O20" s="33">
        <f t="shared" si="3"/>
        <v>1675068.9800000004</v>
      </c>
      <c r="P20" s="120">
        <f t="shared" si="1"/>
        <v>89.532007137309449</v>
      </c>
      <c r="R20" s="19">
        <f>J20-K20</f>
        <v>271914.30999999912</v>
      </c>
      <c r="S20" s="19">
        <f t="shared" si="4"/>
        <v>18577.77999999997</v>
      </c>
      <c r="V20" s="129">
        <v>81782.039999999994</v>
      </c>
      <c r="W20" s="129">
        <v>4628.71</v>
      </c>
      <c r="X20" s="130"/>
      <c r="Y20" s="129">
        <v>85773.28</v>
      </c>
      <c r="Z20" s="131">
        <v>4.92</v>
      </c>
      <c r="AA20" s="48"/>
      <c r="AB20" s="49">
        <f t="shared" si="2"/>
        <v>81781.974000000002</v>
      </c>
    </row>
    <row r="21" spans="1:28" ht="35.25" customHeight="1">
      <c r="A21" s="32">
        <v>1</v>
      </c>
      <c r="B21" s="32" t="s">
        <v>28</v>
      </c>
      <c r="C21" s="103" t="s">
        <v>410</v>
      </c>
      <c r="D21" s="32">
        <v>2018</v>
      </c>
      <c r="E21" s="32"/>
      <c r="F21" s="33">
        <v>4764.6000000000004</v>
      </c>
      <c r="G21" s="32">
        <v>9.34</v>
      </c>
      <c r="H21" s="33">
        <f>'УК 4 кв. 2023г.'!H21-'УК 4 кв. 2023г.'!I21+V21+W21+X21</f>
        <v>357735.86</v>
      </c>
      <c r="I21" s="33">
        <f t="shared" si="0"/>
        <v>141848.97999999998</v>
      </c>
      <c r="J21" s="33">
        <f>'УК 4 кв. 2023г.'!J21+'УК 1 кв. 2024г.'!V21+'УК 1 кв. 2024г.'!W21</f>
        <v>1586215.3099999998</v>
      </c>
      <c r="K21" s="33">
        <f>'УК 4 кв. 2023г.'!K21+'УК 1 кв. 2024г.'!I21</f>
        <v>1359631.48</v>
      </c>
      <c r="L21" s="32"/>
      <c r="M21" s="32"/>
      <c r="N21" s="33">
        <f>'УК 3 кв. 2023г.'!N21</f>
        <v>0</v>
      </c>
      <c r="O21" s="33">
        <f t="shared" si="3"/>
        <v>1359631.48</v>
      </c>
      <c r="P21" s="120">
        <f t="shared" si="1"/>
        <v>85.715443006283948</v>
      </c>
      <c r="R21" s="19">
        <f t="shared" ref="R21:R23" si="5">J21-K21</f>
        <v>226583.82999999984</v>
      </c>
      <c r="S21" s="19">
        <f t="shared" si="4"/>
        <v>215886.88</v>
      </c>
      <c r="V21" s="129">
        <f>133504-339.85</f>
        <v>133164.15</v>
      </c>
      <c r="W21" s="129">
        <v>4117.43</v>
      </c>
      <c r="X21" s="131"/>
      <c r="Y21" s="129">
        <v>139953.04999999999</v>
      </c>
      <c r="Z21" s="129">
        <v>1895.93</v>
      </c>
      <c r="AA21" s="48"/>
      <c r="AB21" s="49">
        <f t="shared" si="2"/>
        <v>133504.092</v>
      </c>
    </row>
    <row r="22" spans="1:28" ht="35.25" customHeight="1">
      <c r="A22" s="32">
        <v>1</v>
      </c>
      <c r="B22" s="32" t="s">
        <v>28</v>
      </c>
      <c r="C22" s="103" t="s">
        <v>411</v>
      </c>
      <c r="D22" s="32">
        <v>2007</v>
      </c>
      <c r="E22" s="32"/>
      <c r="F22" s="33">
        <v>1202.9000000000001</v>
      </c>
      <c r="G22" s="32">
        <v>6.66</v>
      </c>
      <c r="H22" s="33">
        <f>'УК 4 кв. 2023г.'!H22-'УК 4 кв. 2023г.'!I22+V22+W22+X22</f>
        <v>150543.46999999997</v>
      </c>
      <c r="I22" s="33">
        <f t="shared" si="0"/>
        <v>14731.94</v>
      </c>
      <c r="J22" s="33">
        <f>'УК 4 кв. 2023г.'!J22+'УК 1 кв. 2024г.'!V22+'УК 1 кв. 2024г.'!W22</f>
        <v>742738.7200000002</v>
      </c>
      <c r="K22" s="33">
        <f>'УК 4 кв. 2023г.'!K22+'УК 1 кв. 2024г.'!I22</f>
        <v>620558.04</v>
      </c>
      <c r="L22" s="32"/>
      <c r="M22" s="32"/>
      <c r="N22" s="33">
        <f>'УК 3 кв. 2023г.'!N22</f>
        <v>0</v>
      </c>
      <c r="O22" s="33">
        <f>K22-N22</f>
        <v>620558.04</v>
      </c>
      <c r="P22" s="120">
        <f>K22/J22*100</f>
        <v>83.549978382707707</v>
      </c>
      <c r="R22" s="19">
        <f t="shared" si="5"/>
        <v>122180.68000000017</v>
      </c>
      <c r="S22" s="19">
        <f t="shared" si="4"/>
        <v>135811.52999999997</v>
      </c>
      <c r="V22" s="129">
        <v>24033.9</v>
      </c>
      <c r="W22" s="129">
        <v>2650.89</v>
      </c>
      <c r="X22" s="130"/>
      <c r="Y22" s="129">
        <v>14731.94</v>
      </c>
      <c r="Z22" s="130"/>
      <c r="AA22" s="48"/>
      <c r="AB22" s="49">
        <f t="shared" si="2"/>
        <v>24033.942000000003</v>
      </c>
    </row>
    <row r="23" spans="1:28" ht="35.25" customHeight="1">
      <c r="A23" s="32">
        <v>1</v>
      </c>
      <c r="B23" s="32" t="s">
        <v>28</v>
      </c>
      <c r="C23" s="103" t="s">
        <v>412</v>
      </c>
      <c r="D23" s="32">
        <v>2006</v>
      </c>
      <c r="E23" s="32"/>
      <c r="F23" s="33">
        <v>1201.8</v>
      </c>
      <c r="G23" s="32">
        <v>6.66</v>
      </c>
      <c r="H23" s="33">
        <f>'УК 4 кв. 2023г.'!H23-'УК 4 кв. 2023г.'!I23+V23+W23+X23</f>
        <v>170379.43999999997</v>
      </c>
      <c r="I23" s="33">
        <f t="shared" si="0"/>
        <v>45831.46</v>
      </c>
      <c r="J23" s="33">
        <f>'УК 4 кв. 2023г.'!J23+'УК 1 кв. 2024г.'!V23+'УК 1 кв. 2024г.'!W23</f>
        <v>678407.56</v>
      </c>
      <c r="K23" s="33">
        <f>'УК 4 кв. 2023г.'!K23+'УК 1 кв. 2024г.'!I23</f>
        <v>543164.26</v>
      </c>
      <c r="L23" s="32"/>
      <c r="M23" s="32"/>
      <c r="N23" s="33">
        <f>'УК 3 кв. 2023г.'!N23</f>
        <v>369062</v>
      </c>
      <c r="O23" s="33">
        <f t="shared" si="3"/>
        <v>174102.26</v>
      </c>
      <c r="P23" s="120">
        <f>K23/J23*100</f>
        <v>80.064594209415944</v>
      </c>
      <c r="R23" s="19">
        <f t="shared" si="5"/>
        <v>135243.30000000005</v>
      </c>
      <c r="S23" s="19">
        <f t="shared" si="4"/>
        <v>124547.97999999998</v>
      </c>
      <c r="V23" s="129">
        <v>24011.97</v>
      </c>
      <c r="W23" s="129">
        <v>2717.09</v>
      </c>
      <c r="X23" s="130"/>
      <c r="Y23" s="129">
        <v>35609.79</v>
      </c>
      <c r="Z23" s="129">
        <v>10221.67</v>
      </c>
      <c r="AA23" s="48"/>
      <c r="AB23" s="49">
        <f t="shared" si="2"/>
        <v>24011.964</v>
      </c>
    </row>
    <row r="24" spans="1:28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37">
        <f>SUM(V16:V23)</f>
        <v>682587.65999999992</v>
      </c>
      <c r="W24" s="37">
        <f>SUM(W16:W23)</f>
        <v>34664.75</v>
      </c>
      <c r="Y24" s="124"/>
      <c r="Z24" s="124"/>
      <c r="AA24" s="48"/>
      <c r="AB24" s="49">
        <f t="shared" ref="AB24:AB29" si="6">E24*F24*3</f>
        <v>0</v>
      </c>
    </row>
    <row r="25" spans="1:28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  <c r="Y25" s="124"/>
      <c r="Z25" s="124"/>
      <c r="AA25" s="48"/>
      <c r="AB25" s="49">
        <f t="shared" si="6"/>
        <v>0</v>
      </c>
    </row>
    <row r="26" spans="1:28" s="17" customFormat="1" ht="18" customHeight="1">
      <c r="A26" s="4"/>
      <c r="B26" s="136" t="s">
        <v>446</v>
      </c>
      <c r="C26" s="136"/>
      <c r="D26" s="136"/>
      <c r="E26" s="136"/>
      <c r="F26" s="136"/>
      <c r="G26" s="136"/>
      <c r="H26" s="136"/>
      <c r="I26" s="136"/>
      <c r="J26" s="136"/>
      <c r="K26" s="90"/>
      <c r="L26" s="4"/>
      <c r="P26" s="62"/>
      <c r="Y26" s="124"/>
      <c r="Z26" s="124"/>
      <c r="AA26" s="48"/>
      <c r="AB26" s="49">
        <f t="shared" si="6"/>
        <v>0</v>
      </c>
    </row>
    <row r="27" spans="1:28" s="62" customFormat="1" ht="15.75">
      <c r="A27" s="111"/>
      <c r="B27" s="191" t="s">
        <v>447</v>
      </c>
      <c r="C27" s="191"/>
      <c r="D27" s="191"/>
      <c r="E27" s="191"/>
      <c r="F27" s="191"/>
      <c r="G27" s="191"/>
      <c r="H27" s="191"/>
      <c r="I27" s="191"/>
      <c r="J27" s="15"/>
      <c r="K27" s="15"/>
      <c r="Y27" s="124"/>
      <c r="Z27" s="124"/>
      <c r="AA27" s="48"/>
      <c r="AB27" s="49">
        <f t="shared" si="6"/>
        <v>0</v>
      </c>
    </row>
    <row r="28" spans="1:28" s="17" customFormat="1" ht="16.5" hidden="1" customHeight="1">
      <c r="A28" s="4"/>
      <c r="C28" s="13" t="s">
        <v>414</v>
      </c>
      <c r="D28" s="13"/>
      <c r="E28" s="13"/>
      <c r="F28" s="13"/>
      <c r="G28" s="13"/>
      <c r="H28" s="13"/>
      <c r="I28" s="13"/>
      <c r="J28" s="13"/>
      <c r="K28" s="13"/>
      <c r="P28" s="62"/>
      <c r="Y28" s="124">
        <v>56183.08</v>
      </c>
      <c r="Z28" s="124">
        <v>20.37</v>
      </c>
      <c r="AA28" s="48"/>
      <c r="AB28" s="49">
        <f t="shared" si="6"/>
        <v>0</v>
      </c>
    </row>
    <row r="29" spans="1:28" s="17" customFormat="1" ht="17.25" hidden="1" customHeight="1">
      <c r="A29" s="4"/>
      <c r="C29" s="13" t="s">
        <v>415</v>
      </c>
      <c r="D29" s="13"/>
      <c r="E29" s="13"/>
      <c r="F29" s="13"/>
      <c r="G29" s="13"/>
      <c r="H29" s="13"/>
      <c r="I29" s="13"/>
      <c r="J29" s="13"/>
      <c r="K29" s="13"/>
      <c r="P29" s="62"/>
      <c r="Y29" s="124">
        <v>43711.13</v>
      </c>
      <c r="Z29" s="124">
        <v>979.02</v>
      </c>
      <c r="AA29" s="48"/>
      <c r="AB29" s="49">
        <f t="shared" si="6"/>
        <v>0</v>
      </c>
    </row>
    <row r="30" spans="1:28" s="17" customFormat="1" ht="21" hidden="1" customHeight="1">
      <c r="A30" s="4"/>
      <c r="C30" s="13" t="s">
        <v>416</v>
      </c>
      <c r="D30" s="13"/>
      <c r="E30" s="13"/>
      <c r="F30" s="13"/>
      <c r="G30" s="13"/>
      <c r="H30" s="13"/>
      <c r="I30" s="13"/>
      <c r="J30" s="13"/>
      <c r="K30" s="13"/>
      <c r="P30" s="62"/>
      <c r="Y30" s="3">
        <f>SUM(Y15:Y29)</f>
        <v>767926.84999999986</v>
      </c>
      <c r="Z30" s="3">
        <f>SUM(Z15:Z29)</f>
        <v>18642.05</v>
      </c>
      <c r="AA30"/>
      <c r="AB30"/>
    </row>
    <row r="31" spans="1:28" s="17" customFormat="1" ht="20.25" hidden="1" customHeight="1">
      <c r="A31" s="4"/>
      <c r="C31" s="13" t="s">
        <v>417</v>
      </c>
      <c r="D31" s="13"/>
      <c r="E31" s="13"/>
      <c r="F31" s="13"/>
      <c r="G31" s="13"/>
      <c r="H31" s="13"/>
      <c r="I31" s="13"/>
      <c r="J31" s="13"/>
      <c r="K31" s="13"/>
      <c r="P31" s="62"/>
      <c r="Y31" s="3"/>
      <c r="Z31" s="3"/>
      <c r="AA31"/>
      <c r="AB31"/>
    </row>
    <row r="32" spans="1:28" s="17" customFormat="1" ht="15.75" hidden="1" customHeight="1">
      <c r="A32" s="4"/>
      <c r="C32" s="13" t="s">
        <v>418</v>
      </c>
      <c r="D32" s="13"/>
      <c r="E32" s="13"/>
      <c r="F32" s="13"/>
      <c r="G32" s="13"/>
      <c r="H32" s="13"/>
      <c r="I32" s="13"/>
      <c r="J32" s="13"/>
      <c r="K32" s="13"/>
      <c r="P32" s="62"/>
      <c r="Y32" s="3"/>
      <c r="Z32" s="3"/>
      <c r="AA32"/>
      <c r="AB32"/>
    </row>
    <row r="33" spans="1:28" s="17" customFormat="1" ht="12" hidden="1" customHeight="1">
      <c r="A33" s="4"/>
      <c r="C33" s="13" t="s">
        <v>419</v>
      </c>
      <c r="D33" s="13"/>
      <c r="E33" s="13"/>
      <c r="F33" s="13"/>
      <c r="G33" s="13"/>
      <c r="H33" s="13"/>
      <c r="I33" s="13"/>
      <c r="J33" s="13"/>
      <c r="K33" s="13"/>
      <c r="P33" s="62"/>
      <c r="Y33" s="3"/>
      <c r="Z33" s="3"/>
      <c r="AA33"/>
      <c r="AB33"/>
    </row>
    <row r="34" spans="1:28" s="17" customFormat="1" ht="12.75" hidden="1" customHeight="1">
      <c r="A34" s="4"/>
      <c r="C34" s="13" t="s">
        <v>420</v>
      </c>
      <c r="D34" s="13"/>
      <c r="E34" s="13"/>
      <c r="F34" s="13"/>
      <c r="G34" s="13"/>
      <c r="H34" s="13"/>
      <c r="I34" s="13"/>
      <c r="J34" s="13"/>
      <c r="K34" s="13"/>
      <c r="P34" s="62"/>
      <c r="Y34" s="3"/>
      <c r="Z34" s="3"/>
      <c r="AA34"/>
      <c r="AB34"/>
    </row>
    <row r="35" spans="1:28" s="17" customFormat="1" ht="12.75" hidden="1" customHeight="1">
      <c r="A35" s="4"/>
      <c r="C35" s="13" t="s">
        <v>421</v>
      </c>
      <c r="D35" s="13"/>
      <c r="E35" s="13"/>
      <c r="F35" s="13"/>
      <c r="G35" s="13"/>
      <c r="H35" s="13"/>
      <c r="I35" s="13"/>
      <c r="J35" s="13"/>
      <c r="K35" s="13"/>
      <c r="P35" s="62"/>
      <c r="Y35" s="28"/>
      <c r="Z35" s="28"/>
      <c r="AA35" s="27"/>
      <c r="AB35" s="27"/>
    </row>
    <row r="36" spans="1:28" s="17" customFormat="1" ht="0.75" customHeight="1">
      <c r="A36" s="4"/>
      <c r="C36" s="13" t="s">
        <v>422</v>
      </c>
      <c r="D36" s="13"/>
      <c r="E36" s="13"/>
      <c r="F36" s="13"/>
      <c r="G36" s="13"/>
      <c r="H36" s="13"/>
      <c r="I36" s="13"/>
      <c r="J36" s="13"/>
      <c r="K36" s="13"/>
      <c r="P36" s="62"/>
      <c r="Y36" s="28"/>
      <c r="Z36" s="28"/>
      <c r="AA36" s="27"/>
      <c r="AB36" s="27"/>
    </row>
    <row r="37" spans="1:28" s="17" customFormat="1" ht="16.5" customHeight="1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  <c r="Y37" s="28"/>
      <c r="Z37" s="28"/>
      <c r="AA37" s="27"/>
      <c r="AB37" s="27"/>
    </row>
    <row r="38" spans="1:28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  <c r="Y38" s="28"/>
      <c r="Z38" s="28"/>
      <c r="AA38" s="27"/>
      <c r="AB38" s="27"/>
    </row>
    <row r="39" spans="1:28" s="17" customFormat="1" ht="15.75">
      <c r="A39" s="4" t="s">
        <v>445</v>
      </c>
      <c r="P39" s="62"/>
      <c r="Y39" s="28"/>
      <c r="Z39" s="28"/>
      <c r="AA39" s="27"/>
      <c r="AB39" s="27"/>
    </row>
    <row r="40" spans="1:28" s="17" customFormat="1" ht="15.75">
      <c r="A40" s="4" t="s">
        <v>59</v>
      </c>
      <c r="P40" s="62"/>
      <c r="Y40" s="3"/>
      <c r="Z40" s="3"/>
      <c r="AA40"/>
      <c r="AB40"/>
    </row>
    <row r="41" spans="1:28" s="17" customFormat="1" ht="15.75">
      <c r="A41" s="4"/>
      <c r="P41" s="62"/>
      <c r="Y41" s="3"/>
      <c r="Z41" s="3"/>
      <c r="AA41"/>
      <c r="AB41"/>
    </row>
    <row r="42" spans="1:28">
      <c r="A42" s="2" t="s">
        <v>48</v>
      </c>
    </row>
  </sheetData>
  <autoFilter ref="A15:W23"/>
  <mergeCells count="26">
    <mergeCell ref="B27:I27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N13:N14"/>
    <mergeCell ref="G12:G14"/>
    <mergeCell ref="H12:I12"/>
    <mergeCell ref="J12:K12"/>
    <mergeCell ref="L12:N12"/>
    <mergeCell ref="I13:I14"/>
    <mergeCell ref="J13:J14"/>
    <mergeCell ref="K13:K14"/>
    <mergeCell ref="L13:L14"/>
    <mergeCell ref="M13:M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5"/>
  <sheetViews>
    <sheetView workbookViewId="0">
      <selection activeCell="O15" sqref="O15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</cols>
  <sheetData>
    <row r="1" spans="1:28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28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28" s="13" customFormat="1" ht="15.75">
      <c r="A3" s="187" t="str">
        <f>'УК 4 кв. 2023г.'!A4:O4</f>
        <v xml:space="preserve">по состоянию за 4 квартал 2023 года на 01 января 2024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28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28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28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28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28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28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28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28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28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28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</row>
    <row r="14" spans="1:28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28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4750.7</v>
      </c>
      <c r="G15" s="32">
        <v>5.98</v>
      </c>
      <c r="H15" s="33">
        <f>'ТСЖ 3 кв.2023г.'!H15-'ТСЖ 3 кв.2023г.'!I15+X15+V15+W15</f>
        <v>485834.63000000006</v>
      </c>
      <c r="I15" s="33">
        <v>120136.08</v>
      </c>
      <c r="J15" s="33">
        <f>'ТСЖ 3 кв.2023г.'!J15+Z15+AA15+X15</f>
        <v>2864483.3800000013</v>
      </c>
      <c r="K15" s="33">
        <f>'ТСЖ 3 кв.2023г.'!K15+'ТСЖ 4 кв.2023г.'!I15+X15</f>
        <v>2585255.88</v>
      </c>
      <c r="L15" s="43"/>
      <c r="M15" s="66"/>
      <c r="N15" s="33">
        <f>'ТСЖ 3 кв.2023г.'!N15</f>
        <v>426357.21</v>
      </c>
      <c r="O15" s="105">
        <f>K15-N15</f>
        <v>2158898.67</v>
      </c>
      <c r="P15" s="74">
        <v>520817.08</v>
      </c>
      <c r="Q15" s="46">
        <f>K15/J15*100</f>
        <v>90.252081686017632</v>
      </c>
      <c r="S15" s="48">
        <f>J15-K15+16536.37</f>
        <v>295763.87000000139</v>
      </c>
      <c r="T15" s="48">
        <f>H15-I15</f>
        <v>365698.55000000005</v>
      </c>
      <c r="V15" s="48">
        <f>85263.48</f>
        <v>85263.48</v>
      </c>
      <c r="W15" s="48">
        <v>6900.45</v>
      </c>
      <c r="X15" s="49">
        <v>2561.5500000000002</v>
      </c>
      <c r="Z15" s="48">
        <f>I15-AA15</f>
        <v>113843.85</v>
      </c>
      <c r="AA15" s="48">
        <v>6292.23</v>
      </c>
    </row>
    <row r="16" spans="1:28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5.98</v>
      </c>
      <c r="H16" s="33">
        <f>'ТСЖ 3 кв.2023г.'!H16-'ТСЖ 3 кв.2023г.'!I16+X16+V16+W16</f>
        <v>107154.62999999998</v>
      </c>
      <c r="I16" s="33">
        <v>60276.46</v>
      </c>
      <c r="J16" s="33">
        <f>'ТСЖ 3 кв.2023г.'!J16+Z16+AA16+X16</f>
        <v>1202708.2300000002</v>
      </c>
      <c r="K16" s="33">
        <f>'ТСЖ 3 кв.2023г.'!K16+'ТСЖ 4 кв.2023г.'!I16+X16</f>
        <v>1118001.8800000001</v>
      </c>
      <c r="L16" s="43"/>
      <c r="M16" s="66"/>
      <c r="N16" s="33">
        <f>'ТСЖ 3 кв.2023г.'!N16</f>
        <v>221688.82</v>
      </c>
      <c r="O16" s="105">
        <f t="shared" ref="O16:O29" si="0">K16-N16</f>
        <v>896313.06</v>
      </c>
      <c r="P16" s="78">
        <v>264064.82</v>
      </c>
      <c r="Q16" s="46">
        <f>K16/J16*100</f>
        <v>92.957032479939045</v>
      </c>
      <c r="S16" s="48">
        <f t="shared" ref="S16:S29" si="1">J16-K16+X16</f>
        <v>84706.350000000093</v>
      </c>
      <c r="T16" s="48">
        <f t="shared" ref="T16:T29" si="2">H16-I16</f>
        <v>46878.169999999976</v>
      </c>
      <c r="V16" s="48">
        <v>34243.86</v>
      </c>
      <c r="W16" s="48">
        <v>1547.98</v>
      </c>
      <c r="Z16" s="48">
        <f t="shared" ref="Z16:Z29" si="3">I16-AA16</f>
        <v>55253.3</v>
      </c>
      <c r="AA16" s="48">
        <v>5023.16</v>
      </c>
      <c r="AB16" s="48">
        <f>AA15+AA16</f>
        <v>11315.39</v>
      </c>
    </row>
    <row r="17" spans="1:28" s="49" customFormat="1" ht="39.75" customHeight="1">
      <c r="A17" s="32">
        <v>1</v>
      </c>
      <c r="B17" s="60" t="s">
        <v>28</v>
      </c>
      <c r="C17" s="60" t="s">
        <v>402</v>
      </c>
      <c r="D17" s="60">
        <v>2002</v>
      </c>
      <c r="E17" s="60"/>
      <c r="F17" s="61">
        <v>1947.3</v>
      </c>
      <c r="G17" s="60">
        <v>5.98</v>
      </c>
      <c r="H17" s="33">
        <f>'ТСЖ 3 кв.2023г.'!H17-'ТСЖ 3 кв.2023г.'!I17+X17+V17+W17</f>
        <v>183653.82000000012</v>
      </c>
      <c r="I17" s="33">
        <v>21397.02</v>
      </c>
      <c r="J17" s="33">
        <f>'ТСЖ 3 кв.2023г.'!J17+Z17+AA17+X17</f>
        <v>1183092.5799999991</v>
      </c>
      <c r="K17" s="33">
        <f>'ТСЖ 3 кв.2023г.'!K17+'ТСЖ 4 кв.2023г.'!I17+X17</f>
        <v>1039859.64</v>
      </c>
      <c r="L17" s="43"/>
      <c r="M17" s="66"/>
      <c r="N17" s="33">
        <f>'ТСЖ 3 кв.2023г.'!N17</f>
        <v>476040</v>
      </c>
      <c r="O17" s="105">
        <f t="shared" si="0"/>
        <v>563819.64</v>
      </c>
      <c r="P17" s="74">
        <v>253163.82</v>
      </c>
      <c r="Q17" s="65">
        <f>K17/J17*100</f>
        <v>87.89334474568345</v>
      </c>
      <c r="S17" s="48">
        <f t="shared" si="1"/>
        <v>143232.93999999913</v>
      </c>
      <c r="T17" s="48">
        <f t="shared" si="2"/>
        <v>162256.80000000013</v>
      </c>
      <c r="V17" s="48">
        <v>34934.550000000003</v>
      </c>
      <c r="W17" s="48">
        <v>2999.3</v>
      </c>
      <c r="Z17" s="48">
        <f t="shared" si="3"/>
        <v>21375.54</v>
      </c>
      <c r="AA17" s="48">
        <v>21.48</v>
      </c>
      <c r="AB17" s="48">
        <f>AB16+AA17</f>
        <v>11336.869999999999</v>
      </c>
    </row>
    <row r="18" spans="1:28" s="49" customFormat="1" ht="63.75" customHeight="1" thickBot="1">
      <c r="A18" s="32">
        <v>1</v>
      </c>
      <c r="B18" s="60" t="s">
        <v>28</v>
      </c>
      <c r="C18" s="60" t="s">
        <v>403</v>
      </c>
      <c r="D18" s="60">
        <v>2003</v>
      </c>
      <c r="E18" s="60"/>
      <c r="F18" s="61">
        <v>2990</v>
      </c>
      <c r="G18" s="60">
        <v>5.98</v>
      </c>
      <c r="H18" s="33">
        <f>'ТСЖ 3 кв.2023г.'!H18-'ТСЖ 3 кв.2023г.'!I18+X18+V18+W18</f>
        <v>232911.06000000014</v>
      </c>
      <c r="I18" s="33">
        <v>46392.57</v>
      </c>
      <c r="J18" s="33">
        <f>'ТСЖ 3 кв.2023г.'!J18+Z18+AA18+X18</f>
        <v>1796112.6599999992</v>
      </c>
      <c r="K18" s="33">
        <f>'ТСЖ 3 кв.2023г.'!K18+'ТСЖ 4 кв.2023г.'!I18+X18</f>
        <v>1646386.24</v>
      </c>
      <c r="L18" s="43"/>
      <c r="M18" s="66"/>
      <c r="N18" s="33">
        <f>'ТСЖ 3 кв.2023г.'!N18</f>
        <v>731630</v>
      </c>
      <c r="O18" s="105">
        <f t="shared" si="0"/>
        <v>914756.24</v>
      </c>
      <c r="P18" s="44">
        <v>378042.71</v>
      </c>
      <c r="Q18" s="65">
        <f t="shared" ref="Q18:Q28" si="4">K18/J18*100</f>
        <v>91.663862555258675</v>
      </c>
      <c r="S18" s="48">
        <f t="shared" si="1"/>
        <v>149726.41999999923</v>
      </c>
      <c r="T18" s="48">
        <f t="shared" si="2"/>
        <v>186518.49000000014</v>
      </c>
      <c r="V18" s="48">
        <v>53640.6</v>
      </c>
      <c r="W18" s="48">
        <v>3015.35</v>
      </c>
      <c r="Z18" s="48">
        <f t="shared" si="3"/>
        <v>46365.72</v>
      </c>
      <c r="AA18" s="48">
        <v>26.85</v>
      </c>
      <c r="AB18" s="48">
        <f t="shared" ref="AB18:AB28" si="5">AB17+AA18</f>
        <v>11363.72</v>
      </c>
    </row>
    <row r="19" spans="1:28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5.98</v>
      </c>
      <c r="H19" s="33">
        <f>'ТСЖ 3 кв.2023г.'!H19-'ТСЖ 3 кв.2023г.'!I19+X19+V19+W19</f>
        <v>101981.17</v>
      </c>
      <c r="I19" s="33">
        <v>30240.080000000002</v>
      </c>
      <c r="J19" s="33">
        <f>'ТСЖ 3 кв.2023г.'!J19+Z19+AA19+X19</f>
        <v>1105553.6099999999</v>
      </c>
      <c r="K19" s="33">
        <f>'ТСЖ 3 кв.2023г.'!K19+'ТСЖ 4 кв.2023г.'!I19+X19</f>
        <v>964423.65</v>
      </c>
      <c r="L19" s="43"/>
      <c r="M19" s="66"/>
      <c r="N19" s="33">
        <f>'ТСЖ 3 кв.2023г.'!N19</f>
        <v>230810</v>
      </c>
      <c r="O19" s="105">
        <f t="shared" si="0"/>
        <v>733613.65</v>
      </c>
      <c r="P19" s="44">
        <v>252978.03</v>
      </c>
      <c r="Q19" s="46">
        <f>K19/J19*100</f>
        <v>87.234453515103638</v>
      </c>
      <c r="S19" s="93">
        <f t="shared" si="1"/>
        <v>141129.95999999985</v>
      </c>
      <c r="T19" s="93">
        <f t="shared" si="2"/>
        <v>71741.09</v>
      </c>
      <c r="V19" s="93">
        <v>30472.86</v>
      </c>
      <c r="W19" s="93">
        <v>1204.4000000000001</v>
      </c>
      <c r="Z19" s="48">
        <f t="shared" si="3"/>
        <v>30208.34</v>
      </c>
      <c r="AA19" s="93">
        <v>31.74</v>
      </c>
      <c r="AB19" s="48">
        <f t="shared" si="5"/>
        <v>11395.46</v>
      </c>
    </row>
    <row r="20" spans="1:28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5.98</v>
      </c>
      <c r="H20" s="33">
        <f>'ТСЖ 3 кв.2023г.'!H20-'ТСЖ 3 кв.2023г.'!I20+X20+V20+W20</f>
        <v>72977.86</v>
      </c>
      <c r="I20" s="33">
        <v>15879.9</v>
      </c>
      <c r="J20" s="33">
        <f>'ТСЖ 3 кв.2023г.'!J20+Z20+AA20+X20</f>
        <v>704673.71999999986</v>
      </c>
      <c r="K20" s="33">
        <f>'ТСЖ 3 кв.2023г.'!K20+'ТСЖ 4 кв.2023г.'!I20+X20</f>
        <v>667668.2699999999</v>
      </c>
      <c r="L20" s="43"/>
      <c r="M20" s="66"/>
      <c r="N20" s="33">
        <f>'ТСЖ 3 кв.2023г.'!N20</f>
        <v>208003.99</v>
      </c>
      <c r="O20" s="105">
        <f t="shared" si="0"/>
        <v>459664.27999999991</v>
      </c>
      <c r="P20" s="74">
        <v>124839.69</v>
      </c>
      <c r="Q20" s="46">
        <f t="shared" si="4"/>
        <v>94.74856959331477</v>
      </c>
      <c r="S20" s="93">
        <f t="shared" si="1"/>
        <v>37005.449999999953</v>
      </c>
      <c r="T20" s="93">
        <f t="shared" si="2"/>
        <v>57097.96</v>
      </c>
      <c r="V20" s="93">
        <v>21330.69</v>
      </c>
      <c r="W20" s="93">
        <v>781.95</v>
      </c>
      <c r="Z20" s="48">
        <f t="shared" si="3"/>
        <v>15879.9</v>
      </c>
      <c r="AA20" s="93"/>
      <c r="AB20" s="48">
        <f t="shared" si="5"/>
        <v>11395.46</v>
      </c>
    </row>
    <row r="21" spans="1:28" s="92" customFormat="1" ht="52.5" customHeight="1" thickBot="1">
      <c r="A21" s="32">
        <v>1</v>
      </c>
      <c r="B21" s="60" t="s">
        <v>28</v>
      </c>
      <c r="C21" s="60" t="s">
        <v>391</v>
      </c>
      <c r="D21" s="60">
        <v>2012</v>
      </c>
      <c r="E21" s="60"/>
      <c r="F21" s="61">
        <v>2427.8000000000002</v>
      </c>
      <c r="G21" s="60">
        <v>5.98</v>
      </c>
      <c r="H21" s="33">
        <f>'ТСЖ 3 кв.2023г.'!H21-'ТСЖ 3 кв.2023г.'!I21+X21+V21+W21</f>
        <v>181921.41000000003</v>
      </c>
      <c r="I21" s="33">
        <v>41651.26</v>
      </c>
      <c r="J21" s="33">
        <f>'ТСЖ 3 кв.2023г.'!J21+Z21+AA21+X21</f>
        <v>1437441.4099999997</v>
      </c>
      <c r="K21" s="33">
        <f>'ТСЖ 3 кв.2023г.'!K21+'ТСЖ 4 кв.2023г.'!I21+X21</f>
        <v>1337504.67</v>
      </c>
      <c r="L21" s="43"/>
      <c r="M21" s="66"/>
      <c r="N21" s="33">
        <f>'ТСЖ 3 кв.2023г.'!N21</f>
        <v>0</v>
      </c>
      <c r="O21" s="105">
        <f t="shared" si="0"/>
        <v>1337504.67</v>
      </c>
      <c r="P21" s="44">
        <v>388089.32</v>
      </c>
      <c r="Q21" s="65">
        <f t="shared" si="4"/>
        <v>93.047595588609084</v>
      </c>
      <c r="S21" s="93">
        <f t="shared" si="1"/>
        <v>99936.739999999758</v>
      </c>
      <c r="T21" s="93">
        <f t="shared" si="2"/>
        <v>140270.15000000002</v>
      </c>
      <c r="V21" s="92">
        <v>43554.66</v>
      </c>
      <c r="W21" s="92">
        <v>2157.02</v>
      </c>
      <c r="Z21" s="48">
        <f t="shared" si="3"/>
        <v>41502.82</v>
      </c>
      <c r="AA21" s="93">
        <v>148.44</v>
      </c>
      <c r="AB21" s="48">
        <f t="shared" si="5"/>
        <v>11543.9</v>
      </c>
    </row>
    <row r="22" spans="1:28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5.98</v>
      </c>
      <c r="H22" s="33">
        <f>'ТСЖ 3 кв.2023г.'!H22-'ТСЖ 3 кв.2023г.'!I22+X22+V22+W22</f>
        <v>103960.42000000004</v>
      </c>
      <c r="I22" s="33">
        <v>32601.33</v>
      </c>
      <c r="J22" s="33">
        <f>'ТСЖ 3 кв.2023г.'!J22+Z22+AA22+X22</f>
        <v>1258340.4700000004</v>
      </c>
      <c r="K22" s="33">
        <f>'ТСЖ 3 кв.2023г.'!K22+'ТСЖ 4 кв.2023г.'!I22+X22</f>
        <v>1196493.45</v>
      </c>
      <c r="L22" s="43"/>
      <c r="M22" s="66"/>
      <c r="N22" s="33">
        <f>'ТСЖ 3 кв.2023г.'!N22</f>
        <v>454457.47</v>
      </c>
      <c r="O22" s="105">
        <f t="shared" si="0"/>
        <v>742035.98</v>
      </c>
      <c r="P22" s="74">
        <v>223464.31</v>
      </c>
      <c r="Q22" s="46">
        <f>K22/J22*100</f>
        <v>95.085032908462324</v>
      </c>
      <c r="S22" s="93">
        <f t="shared" si="1"/>
        <v>61847.020000000484</v>
      </c>
      <c r="T22" s="93">
        <f t="shared" si="2"/>
        <v>71359.09000000004</v>
      </c>
      <c r="V22" s="93">
        <v>37277.550000000003</v>
      </c>
      <c r="W22" s="93">
        <v>1415.91</v>
      </c>
      <c r="Z22" s="48">
        <f t="shared" si="3"/>
        <v>32484.45</v>
      </c>
      <c r="AA22" s="93">
        <v>116.88</v>
      </c>
      <c r="AB22" s="48">
        <f t="shared" si="5"/>
        <v>11660.779999999999</v>
      </c>
    </row>
    <row r="23" spans="1:28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5.98</v>
      </c>
      <c r="H23" s="33">
        <f>'ТСЖ 3 кв.2023г.'!H23-'ТСЖ 3 кв.2023г.'!I23+X23+V23+W23</f>
        <v>53142.51</v>
      </c>
      <c r="I23" s="33">
        <f>34507.25+374.95</f>
        <v>34882.199999999997</v>
      </c>
      <c r="J23" s="33">
        <f>'ТСЖ 3 кв.2023г.'!J23+Z23+AA23+X23</f>
        <v>1249177.7799999996</v>
      </c>
      <c r="K23" s="33">
        <f>'ТСЖ 3 кв.2023г.'!K23+'ТСЖ 4 кв.2023г.'!I23+X23</f>
        <v>1244242.27</v>
      </c>
      <c r="L23" s="43"/>
      <c r="M23" s="66"/>
      <c r="N23" s="33">
        <f>'ТСЖ 3 кв.2023г.'!N23</f>
        <v>435700.47000000003</v>
      </c>
      <c r="O23" s="105">
        <f t="shared" si="0"/>
        <v>808541.8</v>
      </c>
      <c r="P23" s="78">
        <v>243907.98</v>
      </c>
      <c r="Q23" s="46">
        <f t="shared" si="4"/>
        <v>99.604899312250055</v>
      </c>
      <c r="S23" s="93">
        <f t="shared" si="1"/>
        <v>4935.5099999995437</v>
      </c>
      <c r="T23" s="93">
        <f t="shared" si="2"/>
        <v>18260.310000000005</v>
      </c>
      <c r="V23" s="93">
        <v>37431.870000000003</v>
      </c>
      <c r="W23" s="93">
        <v>195.51</v>
      </c>
      <c r="Z23" s="48">
        <f t="shared" si="3"/>
        <v>34815.939999999995</v>
      </c>
      <c r="AA23" s="93">
        <v>66.260000000000005</v>
      </c>
      <c r="AB23" s="48">
        <f t="shared" si="5"/>
        <v>11727.039999999999</v>
      </c>
    </row>
    <row r="24" spans="1:28" s="92" customFormat="1" ht="30.75" thickBot="1">
      <c r="A24" s="32">
        <v>1</v>
      </c>
      <c r="B24" s="60" t="s">
        <v>28</v>
      </c>
      <c r="C24" s="60" t="s">
        <v>394</v>
      </c>
      <c r="D24" s="60">
        <v>1996</v>
      </c>
      <c r="E24" s="60"/>
      <c r="F24" s="61">
        <v>2824.4</v>
      </c>
      <c r="G24" s="60">
        <v>5.98</v>
      </c>
      <c r="H24" s="33">
        <f>'ТСЖ 3 кв.2023г.'!H24-'ТСЖ 3 кв.2023г.'!I24+X24+V24+W24</f>
        <v>273171.64</v>
      </c>
      <c r="I24" s="33">
        <v>64061.19</v>
      </c>
      <c r="J24" s="33">
        <f>'ТСЖ 3 кв.2023г.'!J24+Z24+AA24+X24</f>
        <v>1727435.7400000007</v>
      </c>
      <c r="K24" s="33">
        <f>'ТСЖ 3 кв.2023г.'!K24+'ТСЖ 4 кв.2023г.'!I24+X24</f>
        <v>1540722.5400000003</v>
      </c>
      <c r="L24" s="43"/>
      <c r="M24" s="66"/>
      <c r="N24" s="33">
        <f>'ТСЖ 3 кв.2023г.'!N24</f>
        <v>124391</v>
      </c>
      <c r="O24" s="105">
        <f t="shared" si="0"/>
        <v>1416331.5400000003</v>
      </c>
      <c r="P24" s="44">
        <v>420551</v>
      </c>
      <c r="Q24" s="65">
        <f>K24/J24*100</f>
        <v>89.191308499846116</v>
      </c>
      <c r="S24" s="93">
        <f>J24-K24+3064.16</f>
        <v>189777.36000000042</v>
      </c>
      <c r="T24" s="93">
        <f t="shared" si="2"/>
        <v>209110.45</v>
      </c>
      <c r="V24" s="93">
        <v>50669.73</v>
      </c>
      <c r="W24" s="93">
        <v>4112.3599999999997</v>
      </c>
      <c r="X24" s="92">
        <v>1695.21</v>
      </c>
      <c r="Z24" s="48">
        <f t="shared" si="3"/>
        <v>62346.32</v>
      </c>
      <c r="AA24" s="93">
        <v>1714.87</v>
      </c>
      <c r="AB24" s="48">
        <f t="shared" si="5"/>
        <v>13441.91</v>
      </c>
    </row>
    <row r="25" spans="1:28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5.98</v>
      </c>
      <c r="H25" s="33">
        <f>'ТСЖ 3 кв.2023г.'!H25-'ТСЖ 3 кв.2023г.'!I25+X25+V25+W25</f>
        <v>75834.559999999998</v>
      </c>
      <c r="I25" s="33">
        <v>40287.300000000003</v>
      </c>
      <c r="J25" s="33">
        <f>'ТСЖ 3 кв.2023г.'!J25+Z25+AA25+X25</f>
        <v>690417.99000000011</v>
      </c>
      <c r="K25" s="33">
        <f>'ТСЖ 3 кв.2023г.'!K25+'ТСЖ 4 кв.2023г.'!I25+X25</f>
        <v>655477.13000000012</v>
      </c>
      <c r="L25" s="43"/>
      <c r="M25" s="66"/>
      <c r="N25" s="33">
        <f>'ТСЖ 3 кв.2023г.'!N25</f>
        <v>248930</v>
      </c>
      <c r="O25" s="105">
        <f t="shared" si="0"/>
        <v>406547.13000000012</v>
      </c>
      <c r="P25" s="44">
        <v>146097.04999999999</v>
      </c>
      <c r="Q25" s="46">
        <f t="shared" si="4"/>
        <v>94.939173007354569</v>
      </c>
      <c r="S25" s="93">
        <f t="shared" si="1"/>
        <v>34940.859999999986</v>
      </c>
      <c r="T25" s="93">
        <f t="shared" si="2"/>
        <v>35547.259999999995</v>
      </c>
      <c r="U25" s="93"/>
      <c r="V25" s="93">
        <v>20361.900000000001</v>
      </c>
      <c r="W25" s="93">
        <v>740.68</v>
      </c>
      <c r="Z25" s="48">
        <f t="shared" si="3"/>
        <v>38916.68</v>
      </c>
      <c r="AA25" s="93">
        <v>1370.62</v>
      </c>
      <c r="AB25" s="48">
        <f t="shared" si="5"/>
        <v>14812.529999999999</v>
      </c>
    </row>
    <row r="26" spans="1:28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5.98</v>
      </c>
      <c r="H26" s="33">
        <f>'ТСЖ 3 кв.2023г.'!H26-'ТСЖ 3 кв.2023г.'!I26+X26+V26+W26</f>
        <v>195365.45999999988</v>
      </c>
      <c r="I26" s="33">
        <v>26866.28</v>
      </c>
      <c r="J26" s="33">
        <f>'ТСЖ 3 кв.2023г.'!J26+Z26+AA26+X26</f>
        <v>1277823.9900000002</v>
      </c>
      <c r="K26" s="33">
        <f>'ТСЖ 3 кв.2023г.'!K26+'ТСЖ 4 кв.2023г.'!I26+X26</f>
        <v>1134593.1300000001</v>
      </c>
      <c r="L26" s="43"/>
      <c r="M26" s="66"/>
      <c r="N26" s="33">
        <f>'ТСЖ 3 кв.2023г.'!N26</f>
        <v>532320</v>
      </c>
      <c r="O26" s="105">
        <f t="shared" si="0"/>
        <v>602273.13000000012</v>
      </c>
      <c r="P26" s="44">
        <v>235115.53</v>
      </c>
      <c r="Q26" s="46">
        <f>K26/J26*100</f>
        <v>88.791033732274812</v>
      </c>
      <c r="S26" s="93">
        <f t="shared" si="1"/>
        <v>143230.8600000001</v>
      </c>
      <c r="T26" s="93">
        <f t="shared" si="2"/>
        <v>168499.17999999988</v>
      </c>
      <c r="V26" s="93">
        <v>38020.17</v>
      </c>
      <c r="W26" s="93">
        <v>2979.58</v>
      </c>
      <c r="Z26" s="48">
        <f t="shared" si="3"/>
        <v>26844.94</v>
      </c>
      <c r="AA26" s="93">
        <v>21.34</v>
      </c>
      <c r="AB26" s="48">
        <f t="shared" si="5"/>
        <v>14833.869999999999</v>
      </c>
    </row>
    <row r="27" spans="1:28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5.98</v>
      </c>
      <c r="H27" s="33">
        <f>'ТСЖ 3 кв.2023г.'!H27-'ТСЖ 3 кв.2023г.'!I27+X27+V27+W27</f>
        <v>198225.64999999997</v>
      </c>
      <c r="I27" s="33">
        <v>61174.95</v>
      </c>
      <c r="J27" s="33">
        <f>'ТСЖ 3 кв.2023г.'!J27+Z27+AA27+X27</f>
        <v>1280287.0400000003</v>
      </c>
      <c r="K27" s="33">
        <f>'ТСЖ 3 кв.2023г.'!K27+'ТСЖ 4 кв.2023г.'!I27+X27</f>
        <v>1147944.2300000002</v>
      </c>
      <c r="L27" s="43"/>
      <c r="M27" s="66"/>
      <c r="N27" s="33">
        <f>'ТСЖ 3 кв.2023г.'!N27</f>
        <v>475020</v>
      </c>
      <c r="O27" s="105">
        <f t="shared" si="0"/>
        <v>672924.23000000021</v>
      </c>
      <c r="P27" s="44">
        <v>287247.24</v>
      </c>
      <c r="Q27" s="46">
        <f>K27/J27*100</f>
        <v>89.663036032919621</v>
      </c>
      <c r="S27" s="93">
        <f t="shared" si="1"/>
        <v>132342.81000000006</v>
      </c>
      <c r="T27" s="93">
        <f t="shared" si="2"/>
        <v>137050.69999999995</v>
      </c>
      <c r="V27" s="93">
        <v>37575.33</v>
      </c>
      <c r="W27" s="93">
        <v>2260.0700000000002</v>
      </c>
      <c r="Z27" s="48">
        <f t="shared" si="3"/>
        <v>58380.14</v>
      </c>
      <c r="AA27" s="93">
        <v>2794.81</v>
      </c>
      <c r="AB27" s="48">
        <f t="shared" si="5"/>
        <v>17628.68</v>
      </c>
    </row>
    <row r="28" spans="1:28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5.98</v>
      </c>
      <c r="H28" s="33">
        <f>'ТСЖ 3 кв.2023г.'!H28-'ТСЖ 3 кв.2023г.'!I28+X28+V28+W28</f>
        <v>221182.84000000003</v>
      </c>
      <c r="I28" s="33">
        <v>52035.17</v>
      </c>
      <c r="J28" s="33">
        <f>'ТСЖ 3 кв.2023г.'!J28+Z28+AA28+X28</f>
        <v>1925454.7600000002</v>
      </c>
      <c r="K28" s="33">
        <f>'ТСЖ 3 кв.2023г.'!K28+'ТСЖ 4 кв.2023г.'!I28+X28</f>
        <v>1805399.0799999994</v>
      </c>
      <c r="L28" s="43"/>
      <c r="M28" s="66"/>
      <c r="N28" s="33">
        <f>'ТСЖ 3 кв.2023г.'!N28</f>
        <v>774822</v>
      </c>
      <c r="O28" s="105">
        <f t="shared" si="0"/>
        <v>1030577.0799999994</v>
      </c>
      <c r="P28" s="44">
        <v>354498.41</v>
      </c>
      <c r="Q28" s="46">
        <f t="shared" si="4"/>
        <v>93.764814292494677</v>
      </c>
      <c r="S28" s="93">
        <f t="shared" si="1"/>
        <v>120468.32000000087</v>
      </c>
      <c r="T28" s="93">
        <f t="shared" si="2"/>
        <v>169147.67000000004</v>
      </c>
      <c r="U28" s="93"/>
      <c r="V28" s="93">
        <v>57867.21</v>
      </c>
      <c r="W28" s="93">
        <v>3012.65</v>
      </c>
      <c r="X28" s="92">
        <v>412.64</v>
      </c>
      <c r="Z28" s="48">
        <f t="shared" si="3"/>
        <v>51934.549999999996</v>
      </c>
      <c r="AA28" s="93">
        <v>100.62</v>
      </c>
      <c r="AB28" s="48">
        <f t="shared" si="5"/>
        <v>17729.3</v>
      </c>
    </row>
    <row r="29" spans="1:28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5.98</v>
      </c>
      <c r="H29" s="33">
        <f>'ТСЖ 3 кв.2023г.'!H29-'ТСЖ 3 кв.2023г.'!I29+X29+V29+W29</f>
        <v>202823.74999999988</v>
      </c>
      <c r="I29" s="33">
        <v>52332.2</v>
      </c>
      <c r="J29" s="33">
        <f>'ТСЖ 3 кв.2023г.'!J29+Z29+AA29+X29</f>
        <v>1285027.0199999996</v>
      </c>
      <c r="K29" s="33">
        <f>'ТСЖ 3 кв.2023г.'!K29+'ТСЖ 4 кв.2023г.'!I29+X29</f>
        <v>1159532.1600000001</v>
      </c>
      <c r="L29" s="43"/>
      <c r="M29" s="66"/>
      <c r="N29" s="33">
        <f>'ТСЖ 3 кв.2023г.'!N29</f>
        <v>721587</v>
      </c>
      <c r="O29" s="105">
        <f t="shared" si="0"/>
        <v>437945.16000000015</v>
      </c>
      <c r="P29" s="44">
        <v>309141.18</v>
      </c>
      <c r="Q29" s="46">
        <f>K29/J29*100</f>
        <v>90.234068385581537</v>
      </c>
      <c r="S29" s="48">
        <f t="shared" si="1"/>
        <v>125494.8599999994</v>
      </c>
      <c r="T29" s="48">
        <f t="shared" si="2"/>
        <v>150491.54999999987</v>
      </c>
      <c r="V29" s="93">
        <v>38310.870000000003</v>
      </c>
      <c r="W29" s="93">
        <v>2679.63</v>
      </c>
      <c r="Z29" s="48">
        <f t="shared" si="3"/>
        <v>49478.229999999996</v>
      </c>
      <c r="AA29" s="48">
        <v>2853.97</v>
      </c>
      <c r="AB29" s="48">
        <f>AB28+AA29</f>
        <v>20583.27</v>
      </c>
    </row>
    <row r="30" spans="1:28" ht="12.75" customHeight="1">
      <c r="A30" s="2"/>
      <c r="O30" s="119">
        <f>SUM(O15:O29)</f>
        <v>13181746.260000005</v>
      </c>
      <c r="S30" s="3">
        <f>SUM(S15:S29)</f>
        <v>1764539.3300000003</v>
      </c>
      <c r="V30" s="3">
        <f>SUM(V15:V29)</f>
        <v>620955.32999999996</v>
      </c>
      <c r="W30" s="3">
        <f>SUM(W15:W29)</f>
        <v>36002.839999999997</v>
      </c>
      <c r="Z30" s="3">
        <f>SUM(Z15:Z29)</f>
        <v>679630.72000000009</v>
      </c>
      <c r="AA30" s="3">
        <f>SUM(AA15:AA29)</f>
        <v>20583.27</v>
      </c>
    </row>
    <row r="31" spans="1:28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SUM(V15:V29)</f>
        <v>620955.32999999996</v>
      </c>
      <c r="W31" s="3">
        <f t="shared" ref="W31:X31" si="6">SUM(W15:W29)</f>
        <v>36002.839999999997</v>
      </c>
      <c r="X31" s="3">
        <f t="shared" si="6"/>
        <v>4669.4000000000005</v>
      </c>
    </row>
    <row r="32" spans="1:28" ht="15.75">
      <c r="A32" s="4"/>
      <c r="C32" s="17"/>
      <c r="D32" s="17"/>
      <c r="E32" s="17"/>
      <c r="F32" s="17"/>
      <c r="G32" s="17"/>
      <c r="H32" s="17"/>
      <c r="I32" s="26"/>
      <c r="V32" s="3"/>
      <c r="W32" s="3"/>
      <c r="X32" s="3"/>
    </row>
    <row r="33" spans="1:27" ht="18.75" customHeight="1">
      <c r="A33" s="2"/>
      <c r="B33" s="107" t="s">
        <v>164</v>
      </c>
      <c r="C33" s="182" t="s">
        <v>441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</row>
    <row r="34" spans="1:27">
      <c r="A34" s="2"/>
      <c r="B34" s="108" t="s">
        <v>165</v>
      </c>
      <c r="C34" s="202" t="s">
        <v>303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27">
      <c r="A35" s="2"/>
      <c r="B35" s="108" t="s">
        <v>166</v>
      </c>
      <c r="C35" s="202" t="s">
        <v>336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27" ht="15.75" customHeight="1">
      <c r="A36" s="2"/>
      <c r="B36" s="108" t="s">
        <v>167</v>
      </c>
      <c r="C36" s="202" t="s">
        <v>337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27" ht="15.75" customHeight="1">
      <c r="A37" s="2"/>
      <c r="B37" s="108" t="s">
        <v>168</v>
      </c>
      <c r="C37" s="202" t="s">
        <v>338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27">
      <c r="A38" s="2"/>
      <c r="B38" s="108" t="s">
        <v>165</v>
      </c>
      <c r="C38" s="202" t="s">
        <v>339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27">
      <c r="A39" s="2"/>
      <c r="B39" s="108" t="s">
        <v>166</v>
      </c>
      <c r="C39" s="202" t="s">
        <v>340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27" ht="15.75" customHeight="1">
      <c r="A40" s="2"/>
      <c r="B40" s="108" t="s">
        <v>167</v>
      </c>
      <c r="C40" s="202" t="s">
        <v>341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27" ht="15.75" customHeight="1">
      <c r="A41" s="2"/>
      <c r="B41" s="108" t="s">
        <v>168</v>
      </c>
      <c r="C41" s="202" t="s">
        <v>342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7" ht="15" customHeight="1">
      <c r="A42" s="2"/>
      <c r="B42" s="108" t="s">
        <v>171</v>
      </c>
      <c r="C42" s="202" t="s">
        <v>343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27" ht="15.75" customHeight="1">
      <c r="A43" s="2"/>
      <c r="B43" s="108" t="s">
        <v>176</v>
      </c>
      <c r="C43" s="202" t="s">
        <v>344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27" ht="15.75" customHeight="1">
      <c r="A44" s="2"/>
      <c r="B44" s="108" t="s">
        <v>177</v>
      </c>
      <c r="C44" s="202" t="s">
        <v>345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</row>
    <row r="45" spans="1:27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27" s="27" customFormat="1" ht="15.75">
      <c r="A46" s="123" t="str">
        <f>'УК 4 кв. 2023г.'!A39</f>
        <v>09 января 2024г.</v>
      </c>
      <c r="I46" s="28"/>
      <c r="Z46" s="28"/>
      <c r="AA46" s="28"/>
    </row>
    <row r="47" spans="1:27" s="27" customFormat="1" ht="15.75">
      <c r="A47" s="4"/>
      <c r="I47" s="28"/>
      <c r="Z47" s="28"/>
      <c r="AA47" s="28"/>
    </row>
    <row r="48" spans="1:27" s="27" customFormat="1" ht="15.75">
      <c r="A48" s="4"/>
      <c r="I48" s="28"/>
      <c r="Z48" s="28"/>
      <c r="AA48" s="28"/>
    </row>
    <row r="49" spans="1:27" s="27" customFormat="1" ht="15.75">
      <c r="A49" s="4" t="s">
        <v>47</v>
      </c>
      <c r="I49" s="28"/>
      <c r="Z49" s="28"/>
      <c r="AA49" s="28"/>
    </row>
    <row r="50" spans="1:27" s="27" customFormat="1" ht="15.75">
      <c r="A50" s="30" t="s">
        <v>48</v>
      </c>
      <c r="I50" s="28"/>
      <c r="Z50" s="28"/>
      <c r="AA50" s="28"/>
    </row>
    <row r="51" spans="1:27">
      <c r="A51" s="1"/>
    </row>
    <row r="52" spans="1:27">
      <c r="A52" s="1"/>
      <c r="K52" s="3"/>
    </row>
    <row r="53" spans="1:27">
      <c r="A53" s="1"/>
    </row>
    <row r="54" spans="1:27">
      <c r="A54" s="1"/>
    </row>
    <row r="55" spans="1:27">
      <c r="A55" s="1"/>
    </row>
    <row r="56" spans="1:27">
      <c r="A56" s="1"/>
    </row>
    <row r="57" spans="1:27">
      <c r="A57" s="1"/>
    </row>
    <row r="58" spans="1:27">
      <c r="A58" s="1"/>
    </row>
    <row r="59" spans="1:27">
      <c r="A59" s="1"/>
    </row>
    <row r="60" spans="1:27">
      <c r="A60" s="1"/>
    </row>
    <row r="61" spans="1:27">
      <c r="A61" s="1"/>
    </row>
    <row r="62" spans="1:27">
      <c r="A62" s="1"/>
    </row>
    <row r="63" spans="1:27">
      <c r="A63" s="1"/>
    </row>
    <row r="64" spans="1:27">
      <c r="A64" s="1"/>
    </row>
    <row r="65" spans="1:1">
      <c r="A65" s="1"/>
    </row>
  </sheetData>
  <autoFilter ref="A13:AA44"/>
  <mergeCells count="36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F11:F13"/>
    <mergeCell ref="G11:G13"/>
    <mergeCell ref="H11:I11"/>
    <mergeCell ref="J11:K11"/>
    <mergeCell ref="L11:N1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44:O44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C43:O43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opLeftCell="K7" zoomScaleNormal="100" workbookViewId="0">
      <selection activeCell="O22" sqref="O22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439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5.98</v>
      </c>
      <c r="H16" s="33">
        <f>'УК 3 кв. 2023г.'!H16-'УК 3 кв. 2023г.'!I16+V16+W16+X16</f>
        <v>444049.82999999996</v>
      </c>
      <c r="I16" s="33">
        <f>184371.03+7666.31</f>
        <v>192037.34</v>
      </c>
      <c r="J16" s="33">
        <f>'УК 3 кв. 2023г.'!J16+'УК 4 кв. 2023г.'!V16+'УК 4 кв. 2023г.'!W16</f>
        <v>5663244.5099999988</v>
      </c>
      <c r="K16" s="33">
        <f>'УК 3 кв. 2023г.'!K16+'УК 4 кв. 2023г.'!I16</f>
        <v>5492008.71</v>
      </c>
      <c r="L16" s="64"/>
      <c r="M16" s="47"/>
      <c r="N16" s="33">
        <f>'УК 3 кв. 2023г.'!N16</f>
        <v>894970.86</v>
      </c>
      <c r="O16" s="33">
        <f>K16-N16</f>
        <v>4597037.8499999996</v>
      </c>
      <c r="P16" s="110">
        <f>K16/J16*100</f>
        <v>96.976365761753087</v>
      </c>
      <c r="R16" s="19">
        <f>J16-K16</f>
        <v>171235.79999999888</v>
      </c>
      <c r="S16" s="19">
        <f>H16-I16</f>
        <v>252012.48999999996</v>
      </c>
      <c r="V16" s="19">
        <v>167156.01</v>
      </c>
      <c r="W16" s="19">
        <v>2968.53</v>
      </c>
    </row>
    <row r="17" spans="1:23" s="15" customFormat="1" ht="37.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2" t="s">
        <v>58</v>
      </c>
      <c r="G17" s="32">
        <v>8.33</v>
      </c>
      <c r="H17" s="33">
        <f>'УК 3 кв. 2023г.'!H17-'УК 3 кв. 2023г.'!I17+V17+W17+X17</f>
        <v>152442.8000000001</v>
      </c>
      <c r="I17" s="33">
        <f>63873.55+91.8</f>
        <v>63965.350000000006</v>
      </c>
      <c r="J17" s="33">
        <f>'УК 3 кв. 2023г.'!J17+'УК 4 кв. 2023г.'!V17+'УК 4 кв. 2023г.'!W17</f>
        <v>1814708.0300000003</v>
      </c>
      <c r="K17" s="33">
        <f>'УК 3 кв. 2023г.'!K17+'УК 4 кв. 2023г.'!I17</f>
        <v>1726230.58</v>
      </c>
      <c r="L17" s="32"/>
      <c r="M17" s="32"/>
      <c r="N17" s="33">
        <f>'УК 3 кв. 2023г.'!N17</f>
        <v>0</v>
      </c>
      <c r="O17" s="33">
        <f>K17-N17</f>
        <v>1726230.58</v>
      </c>
      <c r="P17" s="110">
        <f t="shared" ref="P17:P21" si="0">K17/J17*100</f>
        <v>95.124425056960803</v>
      </c>
      <c r="R17" s="19">
        <f>J17-K17</f>
        <v>88477.450000000186</v>
      </c>
      <c r="S17" s="19">
        <f>H17-I17</f>
        <v>88477.450000000099</v>
      </c>
      <c r="V17" s="19">
        <v>77064.210000000006</v>
      </c>
      <c r="W17" s="19">
        <v>2615.39</v>
      </c>
    </row>
    <row r="18" spans="1:23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8.33</v>
      </c>
      <c r="H18" s="33">
        <f>'УК 3 кв. 2023г.'!H18-'УК 3 кв. 2023г.'!I18+V18+W18+X18</f>
        <v>593749.53</v>
      </c>
      <c r="I18" s="33">
        <f>49756.51+467.27</f>
        <v>50223.78</v>
      </c>
      <c r="J18" s="33">
        <f>'УК 3 кв. 2023г.'!J18+'УК 4 кв. 2023г.'!V18+'УК 4 кв. 2023г.'!W18</f>
        <v>2138414.35</v>
      </c>
      <c r="K18" s="33">
        <f>'УК 3 кв. 2023г.'!K18+'УК 4 кв. 2023г.'!I18</f>
        <v>1594888.5999999999</v>
      </c>
      <c r="L18" s="34"/>
      <c r="M18" s="89"/>
      <c r="N18" s="33">
        <f>'УК 3 кв. 2023г.'!N18</f>
        <v>365967</v>
      </c>
      <c r="O18" s="33">
        <f>K18-N18</f>
        <v>1228921.5999999999</v>
      </c>
      <c r="P18" s="110">
        <f t="shared" si="0"/>
        <v>74.582767366857581</v>
      </c>
      <c r="R18" s="19">
        <f>J18-K18</f>
        <v>543525.75000000023</v>
      </c>
      <c r="S18" s="19">
        <f>H18-I18</f>
        <v>543525.75</v>
      </c>
      <c r="V18" s="19">
        <v>62904.78</v>
      </c>
      <c r="W18" s="19">
        <v>3276.44</v>
      </c>
    </row>
    <row r="19" spans="1:23" s="15" customFormat="1" ht="33" customHeight="1">
      <c r="A19" s="32">
        <v>1</v>
      </c>
      <c r="B19" s="32" t="s">
        <v>28</v>
      </c>
      <c r="C19" s="103" t="s">
        <v>408</v>
      </c>
      <c r="D19" s="32">
        <v>2012</v>
      </c>
      <c r="E19" s="32"/>
      <c r="F19" s="33">
        <v>2729.9</v>
      </c>
      <c r="G19" s="32">
        <v>8.33</v>
      </c>
      <c r="H19" s="33">
        <f>'УК 3 кв. 2023г.'!H19-'УК 3 кв. 2023г.'!I19+V19+W19+X19</f>
        <v>350533.87999999995</v>
      </c>
      <c r="I19" s="33">
        <f>57534.98+45.5</f>
        <v>57580.480000000003</v>
      </c>
      <c r="J19" s="33">
        <f>'УК 3 кв. 2023г.'!J19+'УК 4 кв. 2023г.'!V19+'УК 4 кв. 2023г.'!W19</f>
        <v>2351356.5</v>
      </c>
      <c r="K19" s="33">
        <f>'УК 3 кв. 2023г.'!K19+'УК 4 кв. 2023г.'!I19</f>
        <v>2058403.0999999999</v>
      </c>
      <c r="L19" s="43"/>
      <c r="M19" s="91"/>
      <c r="N19" s="33">
        <f>'УК 3 кв. 2023г.'!N19</f>
        <v>755760.4</v>
      </c>
      <c r="O19" s="33">
        <f t="shared" ref="O19:O23" si="1">K19-N19</f>
        <v>1302642.6999999997</v>
      </c>
      <c r="P19" s="120">
        <f t="shared" si="0"/>
        <v>87.541089579568208</v>
      </c>
      <c r="R19" s="19">
        <f>J19-K19</f>
        <v>292953.40000000014</v>
      </c>
      <c r="S19" s="19">
        <f t="shared" ref="S19:S23" si="2">H19-I19</f>
        <v>292953.39999999997</v>
      </c>
      <c r="U19" s="19"/>
      <c r="V19" s="19">
        <v>68220.33</v>
      </c>
      <c r="W19" s="19">
        <v>4905.3599999999997</v>
      </c>
    </row>
    <row r="20" spans="1:23" ht="35.25" customHeight="1">
      <c r="A20" s="32">
        <v>1</v>
      </c>
      <c r="B20" s="32" t="s">
        <v>28</v>
      </c>
      <c r="C20" s="103" t="s">
        <v>409</v>
      </c>
      <c r="D20" s="32">
        <v>2007</v>
      </c>
      <c r="E20" s="32"/>
      <c r="F20" s="33">
        <v>2918.7</v>
      </c>
      <c r="G20" s="32">
        <v>8.33</v>
      </c>
      <c r="H20" s="33">
        <f>'УК 3 кв. 2023г.'!H20-'УК 3 кв. 2023г.'!I20+V20+W20+X20</f>
        <v>94993.919999999969</v>
      </c>
      <c r="I20" s="33">
        <f>77040.71+7.98</f>
        <v>77048.69</v>
      </c>
      <c r="J20" s="33">
        <f>'УК 3 кв. 2023г.'!J20+'УК 4 кв. 2023г.'!V20+'УК 4 кв. 2023г.'!W20</f>
        <v>2511167.5399999996</v>
      </c>
      <c r="K20" s="33">
        <f>'УК 3 кв. 2023г.'!K20+'УК 4 кв. 2023г.'!I20</f>
        <v>2239885.7800000003</v>
      </c>
      <c r="L20" s="32"/>
      <c r="M20" s="32"/>
      <c r="N20" s="33">
        <f>'УК 3 кв. 2023г.'!N20</f>
        <v>650595</v>
      </c>
      <c r="O20" s="33">
        <f t="shared" si="1"/>
        <v>1589290.7800000003</v>
      </c>
      <c r="P20" s="120">
        <f t="shared" si="0"/>
        <v>89.19698683266671</v>
      </c>
      <c r="R20" s="19">
        <f>J20-K20</f>
        <v>271281.75999999931</v>
      </c>
      <c r="S20" s="19">
        <f t="shared" si="2"/>
        <v>17945.229999999967</v>
      </c>
      <c r="V20" s="37">
        <v>72938.34</v>
      </c>
      <c r="W20" s="37">
        <v>10699.78</v>
      </c>
    </row>
    <row r="21" spans="1:23" ht="35.25" customHeight="1">
      <c r="A21" s="32">
        <v>1</v>
      </c>
      <c r="B21" s="32" t="s">
        <v>28</v>
      </c>
      <c r="C21" s="103" t="s">
        <v>410</v>
      </c>
      <c r="D21" s="32">
        <v>2018</v>
      </c>
      <c r="E21" s="32"/>
      <c r="F21" s="33">
        <v>4764.6000000000004</v>
      </c>
      <c r="G21" s="32">
        <v>8.33</v>
      </c>
      <c r="H21" s="33">
        <f>'УК 3 кв. 2023г.'!H21-'УК 3 кв. 2023г.'!I21+V21+W21+X21</f>
        <v>360967.04</v>
      </c>
      <c r="I21" s="33">
        <f>136887.86+3624.9</f>
        <v>140512.75999999998</v>
      </c>
      <c r="J21" s="33">
        <f>'УК 3 кв. 2023г.'!J21+'УК 4 кв. 2023г.'!V21+'УК 4 кв. 2023г.'!W21</f>
        <v>1448933.73</v>
      </c>
      <c r="K21" s="33">
        <f>'УК 3 кв. 2023г.'!K21+'УК 4 кв. 2023г.'!I21</f>
        <v>1217782.5</v>
      </c>
      <c r="L21" s="32"/>
      <c r="M21" s="32"/>
      <c r="N21" s="33">
        <f>'УК 3 кв. 2023г.'!N21</f>
        <v>0</v>
      </c>
      <c r="O21" s="33">
        <f t="shared" si="1"/>
        <v>1217782.5</v>
      </c>
      <c r="P21" s="120">
        <f t="shared" si="0"/>
        <v>84.046804542261569</v>
      </c>
      <c r="R21" s="19">
        <f t="shared" ref="R21:R23" si="3">J21-K21</f>
        <v>231151.22999999998</v>
      </c>
      <c r="S21" s="19">
        <f t="shared" si="2"/>
        <v>220454.28</v>
      </c>
      <c r="V21" s="37">
        <v>119067.42</v>
      </c>
      <c r="W21" s="37">
        <v>6107.6</v>
      </c>
    </row>
    <row r="22" spans="1:23" ht="35.25" customHeight="1">
      <c r="A22" s="32">
        <v>1</v>
      </c>
      <c r="B22" s="32" t="s">
        <v>28</v>
      </c>
      <c r="C22" s="103" t="s">
        <v>411</v>
      </c>
      <c r="D22" s="32">
        <v>2007</v>
      </c>
      <c r="E22" s="32"/>
      <c r="F22" s="33">
        <v>1202.9000000000001</v>
      </c>
      <c r="G22" s="32">
        <v>5.98</v>
      </c>
      <c r="H22" s="33">
        <f>'УК 3 кв. 2023г.'!H22-'УК 3 кв. 2023г.'!I22+V22+W22+X22</f>
        <v>164538.19999999995</v>
      </c>
      <c r="I22" s="33">
        <f>40398.6+280.92</f>
        <v>40679.519999999997</v>
      </c>
      <c r="J22" s="33">
        <f>'УК 3 кв. 2023г.'!J22+'УК 4 кв. 2023г.'!V22+'УК 4 кв. 2023г.'!W22</f>
        <v>716053.93000000017</v>
      </c>
      <c r="K22" s="33">
        <f>'УК 3 кв. 2023г.'!K22+'УК 4 кв. 2023г.'!I22</f>
        <v>605826.10000000009</v>
      </c>
      <c r="L22" s="32"/>
      <c r="M22" s="32"/>
      <c r="N22" s="33">
        <f>'УК 3 кв. 2023г.'!N22</f>
        <v>0</v>
      </c>
      <c r="O22" s="33">
        <f>K22-N22</f>
        <v>605826.10000000009</v>
      </c>
      <c r="P22" s="120">
        <f>K22/J22*100</f>
        <v>84.606211155073183</v>
      </c>
      <c r="R22" s="19">
        <f t="shared" si="3"/>
        <v>110227.83000000007</v>
      </c>
      <c r="S22" s="19">
        <f t="shared" si="2"/>
        <v>123858.67999999996</v>
      </c>
      <c r="V22" s="37">
        <v>21580.05</v>
      </c>
      <c r="W22" s="37">
        <v>5286.3</v>
      </c>
    </row>
    <row r="23" spans="1:23" ht="35.25" customHeight="1">
      <c r="A23" s="32">
        <v>1</v>
      </c>
      <c r="B23" s="32" t="s">
        <v>28</v>
      </c>
      <c r="C23" s="103" t="s">
        <v>412</v>
      </c>
      <c r="D23" s="32">
        <v>2006</v>
      </c>
      <c r="E23" s="32"/>
      <c r="F23" s="33">
        <v>1201.8</v>
      </c>
      <c r="G23" s="32">
        <v>5.98</v>
      </c>
      <c r="H23" s="33">
        <f>'УК 3 кв. 2023г.'!H23-'УК 3 кв. 2023г.'!I23+V23+W23+X23</f>
        <v>180559.71999999997</v>
      </c>
      <c r="I23" s="33">
        <f>36902.8+6.54</f>
        <v>36909.340000000004</v>
      </c>
      <c r="J23" s="33">
        <f>'УК 3 кв. 2023г.'!J23+'УК 4 кв. 2023г.'!V23+'УК 4 кв. 2023г.'!W23</f>
        <v>651678.50000000012</v>
      </c>
      <c r="K23" s="33">
        <f>'УК 3 кв. 2023г.'!K23+'УК 4 кв. 2023г.'!I23</f>
        <v>497332.8</v>
      </c>
      <c r="L23" s="32"/>
      <c r="M23" s="32"/>
      <c r="N23" s="33">
        <f>'УК 3 кв. 2023г.'!N23</f>
        <v>369062</v>
      </c>
      <c r="O23" s="33">
        <f t="shared" si="1"/>
        <v>128270.79999999999</v>
      </c>
      <c r="P23" s="120">
        <f>K23/J23*100</f>
        <v>76.315667925211571</v>
      </c>
      <c r="R23" s="19">
        <f t="shared" si="3"/>
        <v>154345.70000000013</v>
      </c>
      <c r="S23" s="19">
        <f t="shared" si="2"/>
        <v>143650.37999999998</v>
      </c>
      <c r="V23" s="37">
        <v>21560.31</v>
      </c>
      <c r="W23" s="37">
        <v>1830</v>
      </c>
    </row>
    <row r="24" spans="1:23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37">
        <f>SUM(V16:V23)</f>
        <v>610491.45000000019</v>
      </c>
      <c r="W24" s="37">
        <f>SUM(W16:W23)</f>
        <v>37689.4</v>
      </c>
    </row>
    <row r="25" spans="1:23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3" s="17" customFormat="1" ht="18.75" customHeight="1">
      <c r="A26" s="4"/>
      <c r="C26" s="90" t="s">
        <v>442</v>
      </c>
      <c r="D26" s="90"/>
      <c r="E26" s="90"/>
      <c r="F26" s="90"/>
      <c r="G26" s="90"/>
      <c r="H26" s="90"/>
      <c r="I26" s="90"/>
      <c r="J26" s="90"/>
      <c r="K26" s="90"/>
      <c r="L26" s="4"/>
      <c r="P26" s="62"/>
    </row>
    <row r="27" spans="1:23" s="62" customFormat="1" ht="36" customHeight="1">
      <c r="A27" s="111"/>
      <c r="C27" s="15" t="s">
        <v>443</v>
      </c>
      <c r="D27" s="15"/>
      <c r="E27" s="15"/>
      <c r="F27" s="15"/>
      <c r="G27" s="15"/>
      <c r="H27" s="15"/>
      <c r="I27" s="15"/>
      <c r="J27" s="15"/>
      <c r="K27" s="15"/>
    </row>
    <row r="28" spans="1:23" s="17" customFormat="1" ht="16.5" hidden="1" customHeight="1">
      <c r="A28" s="4"/>
      <c r="C28" s="13" t="s">
        <v>414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3" s="17" customFormat="1" ht="17.25" hidden="1" customHeight="1">
      <c r="A29" s="4"/>
      <c r="C29" s="13" t="s">
        <v>415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3" s="17" customFormat="1" ht="21" hidden="1" customHeight="1">
      <c r="A30" s="4"/>
      <c r="C30" s="13" t="s">
        <v>416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3" s="17" customFormat="1" ht="20.25" hidden="1" customHeight="1">
      <c r="A31" s="4"/>
      <c r="C31" s="13" t="s">
        <v>417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3" s="17" customFormat="1" ht="15.75" hidden="1" customHeight="1">
      <c r="A32" s="4"/>
      <c r="C32" s="13" t="s">
        <v>418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2" hidden="1" customHeight="1">
      <c r="A33" s="4"/>
      <c r="C33" s="13" t="s">
        <v>419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2.75" hidden="1" customHeight="1">
      <c r="A34" s="4"/>
      <c r="C34" s="13" t="s">
        <v>420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2.75" hidden="1" customHeight="1">
      <c r="A35" s="4"/>
      <c r="C35" s="13" t="s">
        <v>421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0.75" customHeight="1">
      <c r="A36" s="4"/>
      <c r="C36" s="13" t="s">
        <v>422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6.5" customHeight="1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>
      <c r="A39" s="4" t="s">
        <v>440</v>
      </c>
      <c r="P39" s="62"/>
    </row>
    <row r="40" spans="1:16" s="17" customFormat="1" ht="15.75">
      <c r="A40" s="4" t="s">
        <v>59</v>
      </c>
      <c r="P40" s="62"/>
    </row>
    <row r="41" spans="1:16" s="17" customFormat="1" ht="15.75">
      <c r="A41" s="4"/>
      <c r="P41" s="62"/>
    </row>
    <row r="42" spans="1:16">
      <c r="A42" s="2" t="s">
        <v>48</v>
      </c>
    </row>
  </sheetData>
  <autoFilter ref="A15:W23"/>
  <mergeCells count="25"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5"/>
  <sheetViews>
    <sheetView topLeftCell="A16" workbookViewId="0">
      <selection activeCell="O22" sqref="O22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</cols>
  <sheetData>
    <row r="1" spans="1:28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28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28" s="13" customFormat="1" ht="15.75">
      <c r="A3" s="187" t="str">
        <f>'УК 3 кв. 2023г.'!A4:O4</f>
        <v xml:space="preserve">по состоянию за 3 квартал 2023 года на 01 октября 2023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28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28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28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28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28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28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28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28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28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28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</row>
    <row r="14" spans="1:28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28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4750.7</v>
      </c>
      <c r="G15" s="32">
        <v>5.98</v>
      </c>
      <c r="H15" s="33">
        <f>'ТСЖ 2 кв.2023г.'!H15-'ТСЖ 2 кв.2023г.'!I15+X15+V15+W15</f>
        <v>481631.9200000001</v>
      </c>
      <c r="I15" s="33">
        <v>90522.77</v>
      </c>
      <c r="J15" s="33">
        <f>'ТСЖ 2 кв.2023г.'!J15+Z15+AA15+X15</f>
        <v>2741785.7500000014</v>
      </c>
      <c r="K15" s="33">
        <f>'ТСЖ 2 кв.2023г.'!K15+'ТСЖ 3 кв.2023г.'!I15+X15</f>
        <v>2462558.25</v>
      </c>
      <c r="L15" s="43"/>
      <c r="M15" s="66"/>
      <c r="N15" s="33">
        <f>'ТСЖ 2 кв.2023г.'!N15</f>
        <v>426357.21</v>
      </c>
      <c r="O15" s="105">
        <f>K15-N15</f>
        <v>2036201.04</v>
      </c>
      <c r="P15" s="74">
        <v>520817.08</v>
      </c>
      <c r="Q15" s="46">
        <f>K15/J15*100</f>
        <v>89.815852679225529</v>
      </c>
      <c r="S15" s="48">
        <f>J15-K15+16536.37</f>
        <v>295763.87000000139</v>
      </c>
      <c r="T15" s="48">
        <f>H15-I15</f>
        <v>391109.15000000008</v>
      </c>
      <c r="V15" s="48">
        <f>85263.48</f>
        <v>85263.48</v>
      </c>
      <c r="W15" s="48">
        <v>6532.14</v>
      </c>
      <c r="X15" s="49">
        <v>2486.2399999999998</v>
      </c>
      <c r="Z15" s="48">
        <f>67640.33-AA15</f>
        <v>67536.350000000006</v>
      </c>
      <c r="AA15" s="48">
        <v>103.98</v>
      </c>
    </row>
    <row r="16" spans="1:28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5.98</v>
      </c>
      <c r="H16" s="33">
        <f>'ТСЖ 2 кв.2023г.'!H16-'ТСЖ 2 кв.2023г.'!I16+X16+V16+W16</f>
        <v>106330.88999999998</v>
      </c>
      <c r="I16" s="33">
        <v>34968.1</v>
      </c>
      <c r="J16" s="33">
        <f>'ТСЖ 2 кв.2023г.'!J16+Z16+AA16+X16</f>
        <v>1142431.7700000003</v>
      </c>
      <c r="K16" s="33">
        <f>'ТСЖ 2 кв.2023г.'!K16+'ТСЖ 3 кв.2023г.'!I16+X16</f>
        <v>1057725.4200000002</v>
      </c>
      <c r="L16" s="43"/>
      <c r="M16" s="66"/>
      <c r="N16" s="33">
        <f>'ТСЖ 2 кв.2023г.'!N16</f>
        <v>221688.82</v>
      </c>
      <c r="O16" s="105">
        <f t="shared" ref="O16:O29" si="0">K16-N16</f>
        <v>836036.60000000009</v>
      </c>
      <c r="P16" s="78">
        <v>264064.82</v>
      </c>
      <c r="Q16" s="46">
        <f>K16/J16*100</f>
        <v>92.585434664513926</v>
      </c>
      <c r="S16" s="48">
        <f t="shared" ref="S16:S29" si="1">J16-K16+X16</f>
        <v>84706.350000000093</v>
      </c>
      <c r="T16" s="48">
        <f t="shared" ref="T16:T29" si="2">H16-I16</f>
        <v>71362.789999999979</v>
      </c>
      <c r="V16" s="48">
        <v>34243.86</v>
      </c>
      <c r="W16" s="48">
        <v>1415.89</v>
      </c>
      <c r="Z16" s="48">
        <f>41492.2-AA16</f>
        <v>40783.409999999996</v>
      </c>
      <c r="AA16" s="48">
        <v>708.79</v>
      </c>
      <c r="AB16" s="48">
        <f>AA15+AA16</f>
        <v>812.77</v>
      </c>
    </row>
    <row r="17" spans="1:28" s="49" customFormat="1" ht="39.75" customHeight="1">
      <c r="A17" s="32">
        <v>1</v>
      </c>
      <c r="B17" s="60" t="s">
        <v>28</v>
      </c>
      <c r="C17" s="60" t="s">
        <v>402</v>
      </c>
      <c r="D17" s="60">
        <v>2002</v>
      </c>
      <c r="E17" s="60"/>
      <c r="F17" s="61">
        <v>1947.3</v>
      </c>
      <c r="G17" s="60">
        <v>5.98</v>
      </c>
      <c r="H17" s="33">
        <f>'ТСЖ 2 кв.2023г.'!H17-'ТСЖ 2 кв.2023г.'!I17+X17+V17+W17</f>
        <v>174576.21000000011</v>
      </c>
      <c r="I17" s="33">
        <v>28856.240000000002</v>
      </c>
      <c r="J17" s="33">
        <f>'ТСЖ 2 кв.2023г.'!J17+Z17+AA17+X17</f>
        <v>1161695.5599999991</v>
      </c>
      <c r="K17" s="33">
        <f>'ТСЖ 2 кв.2023г.'!K17+'ТСЖ 3 кв.2023г.'!I17+X17</f>
        <v>1018462.62</v>
      </c>
      <c r="L17" s="43"/>
      <c r="M17" s="66"/>
      <c r="N17" s="33">
        <f>'ТСЖ 2 кв.2023г.'!N17</f>
        <v>476040</v>
      </c>
      <c r="O17" s="105">
        <f t="shared" si="0"/>
        <v>542422.62</v>
      </c>
      <c r="P17" s="74">
        <v>253163.82</v>
      </c>
      <c r="Q17" s="65">
        <f>K17/J17*100</f>
        <v>87.670354873354313</v>
      </c>
      <c r="S17" s="48">
        <f t="shared" si="1"/>
        <v>143232.93999999913</v>
      </c>
      <c r="T17" s="48">
        <f t="shared" si="2"/>
        <v>145719.97000000012</v>
      </c>
      <c r="V17" s="48">
        <v>34934.550000000003</v>
      </c>
      <c r="W17" s="48">
        <v>2560.73</v>
      </c>
      <c r="Z17" s="48">
        <f>33015.11-AA17</f>
        <v>32930.949999999997</v>
      </c>
      <c r="AA17" s="48">
        <v>84.16</v>
      </c>
      <c r="AB17" s="48">
        <f>AB16+AA17</f>
        <v>896.93</v>
      </c>
    </row>
    <row r="18" spans="1:28" s="49" customFormat="1" ht="63.75" customHeight="1" thickBot="1">
      <c r="A18" s="32">
        <v>1</v>
      </c>
      <c r="B18" s="60" t="s">
        <v>28</v>
      </c>
      <c r="C18" s="60" t="s">
        <v>403</v>
      </c>
      <c r="D18" s="60">
        <v>2003</v>
      </c>
      <c r="E18" s="60"/>
      <c r="F18" s="61">
        <v>2990</v>
      </c>
      <c r="G18" s="60">
        <v>5.98</v>
      </c>
      <c r="H18" s="33">
        <f>'ТСЖ 2 кв.2023г.'!H18-'ТСЖ 2 кв.2023г.'!I18+X18+V18+W18</f>
        <v>234472.42000000013</v>
      </c>
      <c r="I18" s="33">
        <v>58217.31</v>
      </c>
      <c r="J18" s="33">
        <f>'ТСЖ 2 кв.2023г.'!J18+Z18+AA18+X18</f>
        <v>1749720.0899999992</v>
      </c>
      <c r="K18" s="33">
        <f>'ТСЖ 2 кв.2023г.'!K18+'ТСЖ 3 кв.2023г.'!I18+X18</f>
        <v>1599993.67</v>
      </c>
      <c r="L18" s="43"/>
      <c r="M18" s="66"/>
      <c r="N18" s="33">
        <f>'ТСЖ 2 кв.2023г.'!N18</f>
        <v>731630</v>
      </c>
      <c r="O18" s="105">
        <f t="shared" si="0"/>
        <v>868363.66999999993</v>
      </c>
      <c r="P18" s="44">
        <v>378042.71</v>
      </c>
      <c r="Q18" s="65">
        <f t="shared" ref="Q18:Q28" si="3">K18/J18*100</f>
        <v>91.442835865249776</v>
      </c>
      <c r="S18" s="48">
        <f t="shared" si="1"/>
        <v>149726.41999999923</v>
      </c>
      <c r="T18" s="48">
        <f t="shared" si="2"/>
        <v>176255.11000000013</v>
      </c>
      <c r="V18" s="48">
        <v>53640.6</v>
      </c>
      <c r="W18" s="48">
        <v>2725.78</v>
      </c>
      <c r="Z18" s="48">
        <f>40739.15-AA18</f>
        <v>40699.919999999998</v>
      </c>
      <c r="AA18" s="48">
        <v>39.229999999999997</v>
      </c>
      <c r="AB18" s="48">
        <f t="shared" ref="AB18:AB28" si="4">AB17+AA18</f>
        <v>936.16</v>
      </c>
    </row>
    <row r="19" spans="1:28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5.98</v>
      </c>
      <c r="H19" s="33">
        <f>'ТСЖ 2 кв.2023г.'!H19-'ТСЖ 2 кв.2023г.'!I19+X19+V19+W19</f>
        <v>96600.69</v>
      </c>
      <c r="I19" s="33">
        <v>26296.78</v>
      </c>
      <c r="J19" s="33">
        <f>'ТСЖ 2 кв.2023г.'!J19+Z19+AA19+X19</f>
        <v>1075313.5299999998</v>
      </c>
      <c r="K19" s="33">
        <f>'ТСЖ 2 кв.2023г.'!K19+'ТСЖ 3 кв.2023г.'!I19+X19</f>
        <v>934183.57000000007</v>
      </c>
      <c r="L19" s="43"/>
      <c r="M19" s="66"/>
      <c r="N19" s="33">
        <f>'ТСЖ 2 кв.2023г.'!N19</f>
        <v>230810</v>
      </c>
      <c r="O19" s="105">
        <f t="shared" si="0"/>
        <v>703373.57000000007</v>
      </c>
      <c r="P19" s="44">
        <v>252978.03</v>
      </c>
      <c r="Q19" s="46">
        <f>K19/J19*100</f>
        <v>86.875459476456157</v>
      </c>
      <c r="S19" s="93">
        <f t="shared" si="1"/>
        <v>141129.95999999973</v>
      </c>
      <c r="T19" s="93">
        <f t="shared" si="2"/>
        <v>70303.91</v>
      </c>
      <c r="V19" s="93">
        <v>30472.86</v>
      </c>
      <c r="W19" s="93">
        <v>1028.03</v>
      </c>
      <c r="Z19" s="93">
        <f>33976.38-AA19</f>
        <v>33955.449999999997</v>
      </c>
      <c r="AA19" s="93">
        <v>20.93</v>
      </c>
      <c r="AB19" s="48">
        <f t="shared" si="4"/>
        <v>957.08999999999992</v>
      </c>
    </row>
    <row r="20" spans="1:28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5.98</v>
      </c>
      <c r="H20" s="33">
        <f>'ТСЖ 2 кв.2023г.'!H20-'ТСЖ 2 кв.2023г.'!I20+X20+V20+W20</f>
        <v>87428.41</v>
      </c>
      <c r="I20" s="33">
        <v>36563.19</v>
      </c>
      <c r="J20" s="33">
        <f>'ТСЖ 2 кв.2023г.'!J20+Z20+AA20+X20</f>
        <v>688793.81999999983</v>
      </c>
      <c r="K20" s="33">
        <f>'ТСЖ 2 кв.2023г.'!K20+'ТСЖ 3 кв.2023г.'!I20+X20</f>
        <v>651788.36999999988</v>
      </c>
      <c r="L20" s="43"/>
      <c r="M20" s="66"/>
      <c r="N20" s="33">
        <f>'ТСЖ 2 кв.2023г.'!N20</f>
        <v>208003.99</v>
      </c>
      <c r="O20" s="105">
        <f t="shared" si="0"/>
        <v>443784.37999999989</v>
      </c>
      <c r="P20" s="74">
        <v>124839.69</v>
      </c>
      <c r="Q20" s="46">
        <f t="shared" si="3"/>
        <v>94.627499706661126</v>
      </c>
      <c r="S20" s="93">
        <f t="shared" si="1"/>
        <v>37005.449999999953</v>
      </c>
      <c r="T20" s="93">
        <f t="shared" si="2"/>
        <v>50865.22</v>
      </c>
      <c r="V20" s="93">
        <v>21330.69</v>
      </c>
      <c r="W20" s="93">
        <v>633.13</v>
      </c>
      <c r="Z20" s="93">
        <f>17457.39-AA20</f>
        <v>17456.91</v>
      </c>
      <c r="AA20" s="93">
        <v>0.48</v>
      </c>
      <c r="AB20" s="48">
        <f t="shared" si="4"/>
        <v>957.56999999999994</v>
      </c>
    </row>
    <row r="21" spans="1:28" s="92" customFormat="1" ht="52.5" customHeight="1" thickBot="1">
      <c r="A21" s="32">
        <v>1</v>
      </c>
      <c r="B21" s="60" t="s">
        <v>28</v>
      </c>
      <c r="C21" s="60" t="s">
        <v>391</v>
      </c>
      <c r="D21" s="60">
        <v>2012</v>
      </c>
      <c r="E21" s="60"/>
      <c r="F21" s="61">
        <v>2427.8000000000002</v>
      </c>
      <c r="G21" s="60">
        <v>5.98</v>
      </c>
      <c r="H21" s="33">
        <f>'ТСЖ 2 кв.2023г.'!H21-'ТСЖ 2 кв.2023г.'!I21+X21+V21+W21</f>
        <v>217384.02000000002</v>
      </c>
      <c r="I21" s="33">
        <f>81550.43-376.14</f>
        <v>81174.289999999994</v>
      </c>
      <c r="J21" s="33">
        <f>'ТСЖ 2 кв.2023г.'!J21+Z21+AA21+X21</f>
        <v>1395790.1499999997</v>
      </c>
      <c r="K21" s="33">
        <f>'ТСЖ 2 кв.2023г.'!K21+'ТСЖ 3 кв.2023г.'!I21+X21</f>
        <v>1295853.4099999999</v>
      </c>
      <c r="L21" s="43"/>
      <c r="M21" s="66"/>
      <c r="N21" s="33">
        <f>'ТСЖ 2 кв.2023г.'!N21</f>
        <v>0</v>
      </c>
      <c r="O21" s="105">
        <f t="shared" si="0"/>
        <v>1295853.4099999999</v>
      </c>
      <c r="P21" s="44">
        <v>388089.32</v>
      </c>
      <c r="Q21" s="65">
        <f t="shared" si="3"/>
        <v>92.840131448126371</v>
      </c>
      <c r="S21" s="93">
        <f t="shared" si="1"/>
        <v>99936.739999999758</v>
      </c>
      <c r="T21" s="93">
        <f t="shared" si="2"/>
        <v>136209.73000000004</v>
      </c>
      <c r="V21" s="92">
        <v>43554.66</v>
      </c>
      <c r="W21" s="92">
        <v>2010.8</v>
      </c>
      <c r="Z21" s="93">
        <f>36081.81-AA21</f>
        <v>36050.659999999996</v>
      </c>
      <c r="AA21" s="93">
        <v>31.15</v>
      </c>
      <c r="AB21" s="48">
        <f t="shared" si="4"/>
        <v>988.71999999999991</v>
      </c>
    </row>
    <row r="22" spans="1:28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5.98</v>
      </c>
      <c r="H22" s="33">
        <f>'ТСЖ 2 кв.2023г.'!H22-'ТСЖ 2 кв.2023г.'!I22+X22+V22+W22</f>
        <v>117717.11000000003</v>
      </c>
      <c r="I22" s="33">
        <v>52450.15</v>
      </c>
      <c r="J22" s="33">
        <f>'ТСЖ 2 кв.2023г.'!J22+Z22+AA22+X22</f>
        <v>1225739.1400000006</v>
      </c>
      <c r="K22" s="33">
        <f>'ТСЖ 2 кв.2023г.'!K22+'ТСЖ 3 кв.2023г.'!I22+X22</f>
        <v>1163892.1199999999</v>
      </c>
      <c r="L22" s="43"/>
      <c r="M22" s="66"/>
      <c r="N22" s="33">
        <f>'ТСЖ 2 кв.2023г.'!N22</f>
        <v>454457.47</v>
      </c>
      <c r="O22" s="105">
        <f t="shared" si="0"/>
        <v>709434.64999999991</v>
      </c>
      <c r="P22" s="74">
        <v>223464.31</v>
      </c>
      <c r="Q22" s="46">
        <f>K22/J22*100</f>
        <v>94.954308140963775</v>
      </c>
      <c r="S22" s="93">
        <f t="shared" si="1"/>
        <v>61847.020000000717</v>
      </c>
      <c r="T22" s="93">
        <f t="shared" si="2"/>
        <v>65266.960000000028</v>
      </c>
      <c r="V22" s="93">
        <v>37277.550000000003</v>
      </c>
      <c r="W22" s="93">
        <v>1414.95</v>
      </c>
      <c r="Z22" s="93">
        <f>41443.91-AA22</f>
        <v>40616.850000000006</v>
      </c>
      <c r="AA22" s="93">
        <v>827.06</v>
      </c>
      <c r="AB22" s="48">
        <f t="shared" si="4"/>
        <v>1815.7799999999997</v>
      </c>
    </row>
    <row r="23" spans="1:28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5.98</v>
      </c>
      <c r="H23" s="33">
        <f>'ТСЖ 2 кв.2023г.'!H23-'ТСЖ 2 кв.2023г.'!I23+X23+V23+W23</f>
        <v>60904.75</v>
      </c>
      <c r="I23" s="33">
        <f>45013.48+376.14</f>
        <v>45389.62</v>
      </c>
      <c r="J23" s="33">
        <f>'ТСЖ 2 кв.2023г.'!J23+Z23+AA23+X23</f>
        <v>1214295.5799999996</v>
      </c>
      <c r="K23" s="33">
        <f>'ТСЖ 2 кв.2023г.'!K23+'ТСЖ 3 кв.2023г.'!I23+X23</f>
        <v>1209360.07</v>
      </c>
      <c r="L23" s="43"/>
      <c r="M23" s="66"/>
      <c r="N23" s="33">
        <f>'ТСЖ 2 кв.2023г.'!N23</f>
        <v>435700.47000000003</v>
      </c>
      <c r="O23" s="105">
        <f t="shared" si="0"/>
        <v>773659.60000000009</v>
      </c>
      <c r="P23" s="78">
        <v>243907.98</v>
      </c>
      <c r="Q23" s="46">
        <f t="shared" si="3"/>
        <v>99.593549537584607</v>
      </c>
      <c r="S23" s="93">
        <f t="shared" si="1"/>
        <v>4935.5099999995437</v>
      </c>
      <c r="T23" s="93">
        <f t="shared" si="2"/>
        <v>15515.129999999997</v>
      </c>
      <c r="V23" s="93">
        <v>37431.870000000003</v>
      </c>
      <c r="W23" s="93">
        <v>213.5</v>
      </c>
      <c r="Z23" s="93">
        <f>31502.17-AA23</f>
        <v>31463.96</v>
      </c>
      <c r="AA23" s="93">
        <v>38.21</v>
      </c>
      <c r="AB23" s="48">
        <f t="shared" si="4"/>
        <v>1853.9899999999998</v>
      </c>
    </row>
    <row r="24" spans="1:28" s="92" customFormat="1" ht="30.75" thickBot="1">
      <c r="A24" s="32">
        <v>1</v>
      </c>
      <c r="B24" s="60" t="s">
        <v>28</v>
      </c>
      <c r="C24" s="60" t="s">
        <v>394</v>
      </c>
      <c r="D24" s="60">
        <v>1996</v>
      </c>
      <c r="E24" s="60"/>
      <c r="F24" s="61">
        <v>2824.4</v>
      </c>
      <c r="G24" s="60">
        <v>5.98</v>
      </c>
      <c r="H24" s="33">
        <f>'ТСЖ 2 кв.2023г.'!H24-'ТСЖ 2 кв.2023г.'!I24+X24+V24+W24</f>
        <v>251988.69000000006</v>
      </c>
      <c r="I24" s="33">
        <v>35294.35</v>
      </c>
      <c r="J24" s="33">
        <f>'ТСЖ 2 кв.2023г.'!J24+Z24+AA24+X24</f>
        <v>1661679.3400000005</v>
      </c>
      <c r="K24" s="33">
        <f>'ТСЖ 2 кв.2023г.'!K24+'ТСЖ 3 кв.2023г.'!I24+X24</f>
        <v>1474966.1400000004</v>
      </c>
      <c r="L24" s="43"/>
      <c r="M24" s="66"/>
      <c r="N24" s="33">
        <f>'ТСЖ 2 кв.2023г.'!N24</f>
        <v>124391</v>
      </c>
      <c r="O24" s="105">
        <f t="shared" si="0"/>
        <v>1350575.1400000004</v>
      </c>
      <c r="P24" s="44">
        <v>420551</v>
      </c>
      <c r="Q24" s="65">
        <f>K24/J24*100</f>
        <v>88.763584194288654</v>
      </c>
      <c r="S24" s="93">
        <f>J24-K24+3064.16</f>
        <v>189777.36000000019</v>
      </c>
      <c r="T24" s="93">
        <f t="shared" si="2"/>
        <v>216694.34000000005</v>
      </c>
      <c r="V24" s="93">
        <v>50669.73</v>
      </c>
      <c r="W24" s="93">
        <v>3529.81</v>
      </c>
      <c r="X24" s="92">
        <v>1664.03</v>
      </c>
      <c r="Z24" s="93">
        <f>51791.04-AA24</f>
        <v>50847.360000000001</v>
      </c>
      <c r="AA24" s="93">
        <v>943.68</v>
      </c>
      <c r="AB24" s="48">
        <f t="shared" si="4"/>
        <v>2797.6699999999996</v>
      </c>
    </row>
    <row r="25" spans="1:28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5.98</v>
      </c>
      <c r="H25" s="33">
        <f>'ТСЖ 2 кв.2023г.'!H25-'ТСЖ 2 кв.2023г.'!I25+X25+V25+W25</f>
        <v>69949.150000000009</v>
      </c>
      <c r="I25" s="33">
        <v>15217.17</v>
      </c>
      <c r="J25" s="33">
        <f>'ТСЖ 2 кв.2023г.'!J25+Z25+AA25+X25</f>
        <v>650130.69000000006</v>
      </c>
      <c r="K25" s="33">
        <f>'ТСЖ 2 кв.2023г.'!K25+'ТСЖ 3 кв.2023г.'!I25+X25</f>
        <v>615189.83000000007</v>
      </c>
      <c r="L25" s="43"/>
      <c r="M25" s="66"/>
      <c r="N25" s="33">
        <f>'ТСЖ 2 кв.2023г.'!N25</f>
        <v>248930</v>
      </c>
      <c r="O25" s="105">
        <f t="shared" si="0"/>
        <v>366259.83000000007</v>
      </c>
      <c r="P25" s="44">
        <v>146097.04999999999</v>
      </c>
      <c r="Q25" s="46">
        <f t="shared" si="3"/>
        <v>94.625563669360076</v>
      </c>
      <c r="S25" s="93">
        <f t="shared" si="1"/>
        <v>34940.859999999986</v>
      </c>
      <c r="T25" s="93">
        <f t="shared" si="2"/>
        <v>54731.98000000001</v>
      </c>
      <c r="U25" s="93"/>
      <c r="V25" s="93">
        <v>20361.900000000001</v>
      </c>
      <c r="W25" s="93">
        <v>1006.79</v>
      </c>
      <c r="Z25" s="93">
        <f>15408.41-AA25</f>
        <v>15395.53</v>
      </c>
      <c r="AA25" s="93">
        <v>12.88</v>
      </c>
      <c r="AB25" s="48">
        <f t="shared" si="4"/>
        <v>2810.5499999999997</v>
      </c>
    </row>
    <row r="26" spans="1:28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5.98</v>
      </c>
      <c r="H26" s="33">
        <f>'ТСЖ 2 кв.2023г.'!H26-'ТСЖ 2 кв.2023г.'!I26+X26+V26+W26</f>
        <v>188758.34999999989</v>
      </c>
      <c r="I26" s="33">
        <v>34392.639999999999</v>
      </c>
      <c r="J26" s="33">
        <f>'ТСЖ 2 кв.2023г.'!J26+Z26+AA26+X26</f>
        <v>1250957.7100000002</v>
      </c>
      <c r="K26" s="33">
        <f>'ТСЖ 2 кв.2023г.'!K26+'ТСЖ 3 кв.2023г.'!I26+X26</f>
        <v>1107726.8500000001</v>
      </c>
      <c r="L26" s="43"/>
      <c r="M26" s="66"/>
      <c r="N26" s="33">
        <f>'ТСЖ 2 кв.2023г.'!N26</f>
        <v>532320</v>
      </c>
      <c r="O26" s="105">
        <f t="shared" si="0"/>
        <v>575406.85000000009</v>
      </c>
      <c r="P26" s="44">
        <v>235115.53</v>
      </c>
      <c r="Q26" s="46">
        <f>K26/J26*100</f>
        <v>88.550303590998283</v>
      </c>
      <c r="S26" s="93">
        <f t="shared" si="1"/>
        <v>143230.8600000001</v>
      </c>
      <c r="T26" s="93">
        <f t="shared" si="2"/>
        <v>154365.7099999999</v>
      </c>
      <c r="V26" s="93">
        <v>38020.17</v>
      </c>
      <c r="W26" s="93">
        <v>2497.54</v>
      </c>
      <c r="Z26" s="93">
        <f>42818.73-AA26</f>
        <v>40585.740000000005</v>
      </c>
      <c r="AA26" s="93">
        <v>2232.9899999999998</v>
      </c>
      <c r="AB26" s="48">
        <f t="shared" si="4"/>
        <v>5043.5399999999991</v>
      </c>
    </row>
    <row r="27" spans="1:28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5.98</v>
      </c>
      <c r="H27" s="33">
        <f>'ТСЖ 2 кв.2023г.'!H27-'ТСЖ 2 кв.2023г.'!I27+X27+V27+W27</f>
        <v>192466.51999999996</v>
      </c>
      <c r="I27" s="33">
        <v>34076.269999999997</v>
      </c>
      <c r="J27" s="33">
        <f>'ТСЖ 2 кв.2023г.'!J27+Z27+AA27+X27</f>
        <v>1219112.0900000003</v>
      </c>
      <c r="K27" s="33">
        <f>'ТСЖ 2 кв.2023г.'!K27+'ТСЖ 3 кв.2023г.'!I27+X27</f>
        <v>1086769.2800000003</v>
      </c>
      <c r="L27" s="43"/>
      <c r="M27" s="66"/>
      <c r="N27" s="33">
        <f>'ТСЖ 2 кв.2023г.'!N27</f>
        <v>475020</v>
      </c>
      <c r="O27" s="105">
        <f t="shared" si="0"/>
        <v>611749.28000000026</v>
      </c>
      <c r="P27" s="44">
        <v>287247.24</v>
      </c>
      <c r="Q27" s="46">
        <f>K27/J27*100</f>
        <v>89.144327983819764</v>
      </c>
      <c r="S27" s="93">
        <f t="shared" si="1"/>
        <v>132342.81000000006</v>
      </c>
      <c r="T27" s="93">
        <f t="shared" si="2"/>
        <v>158390.24999999997</v>
      </c>
      <c r="V27" s="93">
        <v>37575.33</v>
      </c>
      <c r="W27" s="93">
        <v>2315.44</v>
      </c>
      <c r="Z27" s="93">
        <f>32323.99-AA27</f>
        <v>32254.780000000002</v>
      </c>
      <c r="AA27" s="93">
        <v>69.209999999999994</v>
      </c>
      <c r="AB27" s="48">
        <f t="shared" si="4"/>
        <v>5112.7499999999991</v>
      </c>
    </row>
    <row r="28" spans="1:28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5.98</v>
      </c>
      <c r="H28" s="33">
        <f>'ТСЖ 2 кв.2023г.'!H28-'ТСЖ 2 кв.2023г.'!I28+X28+V28+W28</f>
        <v>225699.11000000002</v>
      </c>
      <c r="I28" s="33">
        <v>65808.77</v>
      </c>
      <c r="J28" s="33">
        <f>'ТСЖ 2 кв.2023г.'!J28+Z28+AA28+X28</f>
        <v>1873006.9500000002</v>
      </c>
      <c r="K28" s="33">
        <f>'ТСЖ 2 кв.2023г.'!K28+'ТСЖ 3 кв.2023г.'!I28+X28</f>
        <v>1752951.2699999996</v>
      </c>
      <c r="L28" s="43"/>
      <c r="M28" s="66"/>
      <c r="N28" s="33">
        <f>'ТСЖ 2 кв.2023г.'!N28</f>
        <v>774822</v>
      </c>
      <c r="O28" s="105">
        <f t="shared" si="0"/>
        <v>978129.26999999955</v>
      </c>
      <c r="P28" s="44">
        <v>354498.41</v>
      </c>
      <c r="Q28" s="46">
        <f t="shared" si="3"/>
        <v>93.590217057122999</v>
      </c>
      <c r="S28" s="93">
        <f t="shared" si="1"/>
        <v>120055.68000000063</v>
      </c>
      <c r="T28" s="93">
        <f t="shared" si="2"/>
        <v>159890.34000000003</v>
      </c>
      <c r="U28" s="93"/>
      <c r="V28" s="93">
        <v>57867.21</v>
      </c>
      <c r="W28" s="93">
        <v>2578.89</v>
      </c>
      <c r="Z28" s="93">
        <f>47863.63-AA28</f>
        <v>47796.479999999996</v>
      </c>
      <c r="AA28" s="93">
        <v>67.150000000000006</v>
      </c>
      <c r="AB28" s="48">
        <f t="shared" si="4"/>
        <v>5179.8999999999987</v>
      </c>
    </row>
    <row r="29" spans="1:28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5.98</v>
      </c>
      <c r="H29" s="33">
        <f>'ТСЖ 2 кв.2023г.'!H29-'ТСЖ 2 кв.2023г.'!I29+X29+V29+W29</f>
        <v>210593.82999999987</v>
      </c>
      <c r="I29" s="33">
        <v>48760.58</v>
      </c>
      <c r="J29" s="33">
        <f>'ТСЖ 2 кв.2023г.'!J29+Z29+AA29+X29</f>
        <v>1232694.8199999996</v>
      </c>
      <c r="K29" s="33">
        <f>'ТСЖ 2 кв.2023г.'!K29+'ТСЖ 3 кв.2023г.'!I29+X29</f>
        <v>1107199.9600000002</v>
      </c>
      <c r="L29" s="43"/>
      <c r="M29" s="66"/>
      <c r="N29" s="33">
        <f>'ТСЖ 2 кв.2023г.'!N29</f>
        <v>721587</v>
      </c>
      <c r="O29" s="105">
        <f t="shared" si="0"/>
        <v>385612.9600000002</v>
      </c>
      <c r="P29" s="44">
        <v>309141.18</v>
      </c>
      <c r="Q29" s="46">
        <f>K29/J29*100</f>
        <v>89.819470483375653</v>
      </c>
      <c r="S29" s="48">
        <f t="shared" si="1"/>
        <v>125494.8599999994</v>
      </c>
      <c r="T29" s="48">
        <f t="shared" si="2"/>
        <v>161833.24999999988</v>
      </c>
      <c r="V29" s="93">
        <v>38310.870000000003</v>
      </c>
      <c r="W29" s="93">
        <f>2638.68-2325.84</f>
        <v>312.83999999999969</v>
      </c>
      <c r="Z29" s="48">
        <f>33630.49-AA29</f>
        <v>32517.42</v>
      </c>
      <c r="AA29" s="48">
        <v>1113.07</v>
      </c>
      <c r="AB29" s="48">
        <f>AB28+AA29</f>
        <v>6292.9699999999984</v>
      </c>
    </row>
    <row r="30" spans="1:28" ht="12.75" customHeight="1">
      <c r="A30" s="2"/>
      <c r="O30" s="119">
        <f>SUM(O15:O29)</f>
        <v>12476862.870000001</v>
      </c>
      <c r="S30" s="3">
        <f>SUM(S15:S29)</f>
        <v>1764126.6899999997</v>
      </c>
      <c r="V30" s="3">
        <f>SUM(V15:V29)</f>
        <v>620955.32999999996</v>
      </c>
      <c r="W30" s="3">
        <f>SUM(W15:W29)</f>
        <v>30776.260000000002</v>
      </c>
      <c r="Z30" s="3">
        <f>SUM(Z15:Z29)</f>
        <v>560891.77000000014</v>
      </c>
      <c r="AA30" s="3">
        <f>SUM(AA15:AA29)</f>
        <v>6292.9699999999984</v>
      </c>
    </row>
    <row r="31" spans="1:28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SUM(V15:V29)</f>
        <v>620955.32999999996</v>
      </c>
      <c r="W31" s="3">
        <f t="shared" ref="W31:X31" si="5">SUM(W15:W29)</f>
        <v>30776.260000000002</v>
      </c>
      <c r="X31" s="3">
        <f t="shared" si="5"/>
        <v>4150.2699999999995</v>
      </c>
    </row>
    <row r="32" spans="1:28" ht="15.75">
      <c r="A32" s="4"/>
      <c r="C32" s="17"/>
      <c r="D32" s="17"/>
      <c r="E32" s="17"/>
      <c r="F32" s="17"/>
      <c r="G32" s="17"/>
      <c r="H32" s="17"/>
      <c r="I32" s="26"/>
      <c r="V32" s="3"/>
      <c r="W32" s="3"/>
      <c r="X32" s="3"/>
    </row>
    <row r="33" spans="1:27" ht="18.75" customHeight="1">
      <c r="A33" s="2"/>
      <c r="B33" s="107" t="s">
        <v>164</v>
      </c>
      <c r="C33" s="182" t="s">
        <v>438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</row>
    <row r="34" spans="1:27" hidden="1">
      <c r="A34" s="2"/>
      <c r="B34" s="108" t="s">
        <v>165</v>
      </c>
      <c r="C34" s="202" t="s">
        <v>303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27" hidden="1">
      <c r="A35" s="2"/>
      <c r="B35" s="108" t="s">
        <v>166</v>
      </c>
      <c r="C35" s="202" t="s">
        <v>336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27" ht="15.75" hidden="1" customHeight="1">
      <c r="A36" s="2"/>
      <c r="B36" s="108" t="s">
        <v>167</v>
      </c>
      <c r="C36" s="202" t="s">
        <v>337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27" ht="15.75" hidden="1" customHeight="1">
      <c r="A37" s="2"/>
      <c r="B37" s="108" t="s">
        <v>168</v>
      </c>
      <c r="C37" s="202" t="s">
        <v>338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27" hidden="1">
      <c r="A38" s="2"/>
      <c r="B38" s="108" t="s">
        <v>165</v>
      </c>
      <c r="C38" s="202" t="s">
        <v>339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27" hidden="1">
      <c r="A39" s="2"/>
      <c r="B39" s="108" t="s">
        <v>166</v>
      </c>
      <c r="C39" s="202" t="s">
        <v>340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27" ht="15.75" hidden="1" customHeight="1">
      <c r="A40" s="2"/>
      <c r="B40" s="108" t="s">
        <v>167</v>
      </c>
      <c r="C40" s="202" t="s">
        <v>341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27" ht="15.75" hidden="1" customHeight="1">
      <c r="A41" s="2"/>
      <c r="B41" s="108" t="s">
        <v>168</v>
      </c>
      <c r="C41" s="202" t="s">
        <v>342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7" ht="15" hidden="1" customHeight="1">
      <c r="A42" s="2"/>
      <c r="B42" s="108" t="s">
        <v>171</v>
      </c>
      <c r="C42" s="202" t="s">
        <v>343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27" ht="15.75" hidden="1" customHeight="1">
      <c r="A43" s="2"/>
      <c r="B43" s="108" t="s">
        <v>176</v>
      </c>
      <c r="C43" s="202" t="s">
        <v>344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27" ht="15.75" hidden="1" customHeight="1">
      <c r="A44" s="2"/>
      <c r="B44" s="108" t="s">
        <v>177</v>
      </c>
      <c r="C44" s="202" t="s">
        <v>345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</row>
    <row r="45" spans="1:27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27" s="27" customFormat="1" ht="15.75">
      <c r="A46" s="123" t="str">
        <f>'УК 3 кв. 2023г.'!A39</f>
        <v>04 октября 2023г.</v>
      </c>
      <c r="I46" s="28"/>
      <c r="Z46" s="28"/>
      <c r="AA46" s="28"/>
    </row>
    <row r="47" spans="1:27" s="27" customFormat="1" ht="15.75">
      <c r="A47" s="4"/>
      <c r="I47" s="28"/>
      <c r="Z47" s="28"/>
      <c r="AA47" s="28"/>
    </row>
    <row r="48" spans="1:27" s="27" customFormat="1" ht="15.75">
      <c r="A48" s="4"/>
      <c r="I48" s="28"/>
      <c r="Z48" s="28"/>
      <c r="AA48" s="28"/>
    </row>
    <row r="49" spans="1:27" s="27" customFormat="1" ht="15.75">
      <c r="A49" s="4" t="s">
        <v>47</v>
      </c>
      <c r="I49" s="28"/>
      <c r="Z49" s="28"/>
      <c r="AA49" s="28"/>
    </row>
    <row r="50" spans="1:27" s="27" customFormat="1" ht="15.75">
      <c r="A50" s="30" t="s">
        <v>48</v>
      </c>
      <c r="I50" s="28"/>
      <c r="Z50" s="28"/>
      <c r="AA50" s="28"/>
    </row>
    <row r="51" spans="1:27">
      <c r="A51" s="1"/>
    </row>
    <row r="52" spans="1:27">
      <c r="A52" s="1"/>
      <c r="K52" s="3"/>
    </row>
    <row r="53" spans="1:27">
      <c r="A53" s="1"/>
    </row>
    <row r="54" spans="1:27">
      <c r="A54" s="1"/>
    </row>
    <row r="55" spans="1:27">
      <c r="A55" s="1"/>
    </row>
    <row r="56" spans="1:27">
      <c r="A56" s="1"/>
    </row>
    <row r="57" spans="1:27">
      <c r="A57" s="1"/>
    </row>
    <row r="58" spans="1:27">
      <c r="A58" s="1"/>
    </row>
    <row r="59" spans="1:27">
      <c r="A59" s="1"/>
    </row>
    <row r="60" spans="1:27">
      <c r="A60" s="1"/>
    </row>
    <row r="61" spans="1:27">
      <c r="A61" s="1"/>
    </row>
    <row r="62" spans="1:27">
      <c r="A62" s="1"/>
    </row>
    <row r="63" spans="1:27">
      <c r="A63" s="1"/>
    </row>
    <row r="64" spans="1:27">
      <c r="A64" s="1"/>
    </row>
    <row r="65" spans="1:1">
      <c r="A65" s="1"/>
    </row>
  </sheetData>
  <autoFilter ref="A13:AA44"/>
  <mergeCells count="36">
    <mergeCell ref="C44:O44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C43:O43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F11:F13"/>
    <mergeCell ref="G11:G13"/>
    <mergeCell ref="H11:I11"/>
    <mergeCell ref="J11:K11"/>
    <mergeCell ref="L11:N11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zoomScaleNormal="100" workbookViewId="0">
      <selection activeCell="O22" sqref="O22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434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5.98</v>
      </c>
      <c r="H16" s="33">
        <f>'УК 2 кв. 2023г.'!H16-'УК 2 кв. 2023г.'!I16+V16+W16+X16</f>
        <v>454162.98999999993</v>
      </c>
      <c r="I16" s="33">
        <v>180237.7</v>
      </c>
      <c r="J16" s="33">
        <f>'УК 2 кв. 2023г.'!J16+'УК 3 кв. 2023г.'!V16+'УК 3 кв. 2023г.'!W16</f>
        <v>5493119.9699999988</v>
      </c>
      <c r="K16" s="33">
        <f>'УК 2 кв. 2023г.'!K16+'УК 3 кв. 2023г.'!I16</f>
        <v>5299971.37</v>
      </c>
      <c r="L16" s="64"/>
      <c r="M16" s="47"/>
      <c r="N16" s="33">
        <f>'УК 2 кв. 2023г.'!N16</f>
        <v>894970.86</v>
      </c>
      <c r="O16" s="33">
        <f>K16-N16</f>
        <v>4405000.51</v>
      </c>
      <c r="P16" s="110">
        <f>K16/J16*100</f>
        <v>96.483808818033182</v>
      </c>
      <c r="R16" s="19">
        <f>J16-K16</f>
        <v>193148.5999999987</v>
      </c>
      <c r="S16" s="19">
        <f>H16-I16</f>
        <v>273925.28999999992</v>
      </c>
      <c r="V16" s="19">
        <v>167156.01</v>
      </c>
      <c r="W16" s="19">
        <v>2870.57</v>
      </c>
    </row>
    <row r="17" spans="1:23" s="15" customFormat="1" ht="37.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2" t="s">
        <v>58</v>
      </c>
      <c r="G17" s="32">
        <v>8.33</v>
      </c>
      <c r="H17" s="33">
        <f>'УК 2 кв. 2023г.'!H17-'УК 2 кв. 2023г.'!I17+V17+W17+X17</f>
        <v>138015.87000000008</v>
      </c>
      <c r="I17" s="33">
        <v>65252.67</v>
      </c>
      <c r="J17" s="33">
        <f>'УК 2 кв. 2023г.'!J17+'УК 3 кв. 2023г.'!V17+'УК 3 кв. 2023г.'!W17</f>
        <v>1735028.4300000004</v>
      </c>
      <c r="K17" s="33">
        <f>'УК 2 кв. 2023г.'!K17+'УК 3 кв. 2023г.'!I17</f>
        <v>1662265.23</v>
      </c>
      <c r="L17" s="32"/>
      <c r="M17" s="32"/>
      <c r="N17" s="33">
        <f>'УК 2 кв. 2023г.'!N17</f>
        <v>0</v>
      </c>
      <c r="O17" s="33">
        <f>K17-N17</f>
        <v>1662265.23</v>
      </c>
      <c r="P17" s="110">
        <f t="shared" ref="P17:P21" si="0">K17/J17*100</f>
        <v>95.806224339505462</v>
      </c>
      <c r="R17" s="19">
        <f>J17-K17</f>
        <v>72763.200000000419</v>
      </c>
      <c r="S17" s="19">
        <f>H17-I17</f>
        <v>72763.200000000084</v>
      </c>
      <c r="V17" s="19">
        <v>77064.210000000006</v>
      </c>
      <c r="W17" s="19">
        <v>1606.59</v>
      </c>
    </row>
    <row r="18" spans="1:23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8.33</v>
      </c>
      <c r="H18" s="33">
        <f>'УК 2 кв. 2023г.'!H18-'УК 2 кв. 2023г.'!I18+V18+W18+X18</f>
        <v>566323.75000000012</v>
      </c>
      <c r="I18" s="33">
        <v>38755.440000000002</v>
      </c>
      <c r="J18" s="33">
        <f>'УК 2 кв. 2023г.'!J18+'УК 3 кв. 2023г.'!V18+'УК 3 кв. 2023г.'!W18</f>
        <v>2072233.1300000004</v>
      </c>
      <c r="K18" s="33">
        <f>'УК 2 кв. 2023г.'!K18+'УК 3 кв. 2023г.'!I18</f>
        <v>1544664.8199999998</v>
      </c>
      <c r="L18" s="34"/>
      <c r="M18" s="89"/>
      <c r="N18" s="33">
        <f>'УК 2 кв. 2023г.'!N18</f>
        <v>365967</v>
      </c>
      <c r="O18" s="33">
        <f>K18-N18</f>
        <v>1178697.8199999998</v>
      </c>
      <c r="P18" s="110">
        <f t="shared" si="0"/>
        <v>74.541073474681852</v>
      </c>
      <c r="R18" s="19">
        <f>J18-K18</f>
        <v>527568.31000000052</v>
      </c>
      <c r="S18" s="19">
        <f>H18-I18</f>
        <v>527568.31000000006</v>
      </c>
      <c r="V18" s="19">
        <v>62904.78</v>
      </c>
      <c r="W18" s="19">
        <v>10383.02</v>
      </c>
    </row>
    <row r="19" spans="1:23" s="15" customFormat="1" ht="33" customHeight="1">
      <c r="A19" s="32">
        <v>1</v>
      </c>
      <c r="B19" s="32" t="s">
        <v>28</v>
      </c>
      <c r="C19" s="103" t="s">
        <v>408</v>
      </c>
      <c r="D19" s="32">
        <v>2012</v>
      </c>
      <c r="E19" s="32"/>
      <c r="F19" s="33">
        <v>2729.9</v>
      </c>
      <c r="G19" s="32">
        <v>8.33</v>
      </c>
      <c r="H19" s="33">
        <f>'УК 2 кв. 2023г.'!H19-'УК 2 кв. 2023г.'!I19+V19+W19+X19</f>
        <v>333389.72999999992</v>
      </c>
      <c r="I19" s="33">
        <v>55981.54</v>
      </c>
      <c r="J19" s="33">
        <f>'УК 2 кв. 2023г.'!J19+'УК 3 кв. 2023г.'!V19+'УК 3 кв. 2023г.'!W19</f>
        <v>2278230.81</v>
      </c>
      <c r="K19" s="33">
        <f>'УК 2 кв. 2023г.'!K19+'УК 3 кв. 2023г.'!I19</f>
        <v>2000822.6199999999</v>
      </c>
      <c r="L19" s="43"/>
      <c r="M19" s="91"/>
      <c r="N19" s="33">
        <f>'УК 2 кв. 2023г.'!N19</f>
        <v>755760.4</v>
      </c>
      <c r="O19" s="33">
        <f t="shared" ref="O19:O23" si="1">K19-N19</f>
        <v>1245062.2199999997</v>
      </c>
      <c r="P19" s="120">
        <f t="shared" si="0"/>
        <v>87.823525659368983</v>
      </c>
      <c r="R19" s="19">
        <f>J19-K19</f>
        <v>277408.19000000018</v>
      </c>
      <c r="S19" s="19">
        <f t="shared" ref="S19:S23" si="2">H19-I19</f>
        <v>277408.18999999994</v>
      </c>
      <c r="U19" s="19"/>
      <c r="V19" s="19">
        <v>68220.33</v>
      </c>
      <c r="W19" s="19">
        <v>5296.86</v>
      </c>
    </row>
    <row r="20" spans="1:23" ht="35.25" customHeight="1">
      <c r="A20" s="32">
        <v>1</v>
      </c>
      <c r="B20" s="32" t="s">
        <v>28</v>
      </c>
      <c r="C20" s="103" t="s">
        <v>409</v>
      </c>
      <c r="D20" s="32">
        <v>2007</v>
      </c>
      <c r="E20" s="32"/>
      <c r="F20" s="33">
        <v>2918.7</v>
      </c>
      <c r="G20" s="32">
        <v>8.33</v>
      </c>
      <c r="H20" s="33">
        <f>'УК 2 кв. 2023г.'!H20-'УК 2 кв. 2023г.'!I20+V20+W20+X20</f>
        <v>88310.339999999967</v>
      </c>
      <c r="I20" s="33">
        <v>76954.539999999994</v>
      </c>
      <c r="J20" s="33">
        <f>'УК 2 кв. 2023г.'!J20+'УК 3 кв. 2023г.'!V20+'УК 3 кв. 2023г.'!W20</f>
        <v>2427529.42</v>
      </c>
      <c r="K20" s="33">
        <f>'УК 2 кв. 2023г.'!K20+'УК 3 кв. 2023г.'!I20</f>
        <v>2162837.0900000003</v>
      </c>
      <c r="L20" s="32"/>
      <c r="M20" s="32"/>
      <c r="N20" s="33">
        <f>'УК 2 кв. 2023г.'!N20</f>
        <v>650595</v>
      </c>
      <c r="O20" s="33">
        <f t="shared" si="1"/>
        <v>1512242.0900000003</v>
      </c>
      <c r="P20" s="120">
        <f t="shared" si="0"/>
        <v>89.096225659749166</v>
      </c>
      <c r="R20" s="19">
        <f>J20-K20</f>
        <v>264692.32999999961</v>
      </c>
      <c r="S20" s="19">
        <f t="shared" si="2"/>
        <v>11355.799999999974</v>
      </c>
      <c r="V20" s="37">
        <v>72938.34</v>
      </c>
      <c r="W20" s="37">
        <v>4905.6899999999996</v>
      </c>
    </row>
    <row r="21" spans="1:23" ht="35.25" customHeight="1">
      <c r="A21" s="32">
        <v>1</v>
      </c>
      <c r="B21" s="32" t="s">
        <v>28</v>
      </c>
      <c r="C21" s="103" t="s">
        <v>410</v>
      </c>
      <c r="D21" s="32">
        <v>2018</v>
      </c>
      <c r="E21" s="32"/>
      <c r="F21" s="33">
        <v>4764.6000000000004</v>
      </c>
      <c r="G21" s="32">
        <v>8.33</v>
      </c>
      <c r="H21" s="33">
        <f>'УК 2 кв. 2023г.'!H21-'УК 2 кв. 2023г.'!I21+V21+W21+X21</f>
        <v>323501.08</v>
      </c>
      <c r="I21" s="33">
        <v>87709.06</v>
      </c>
      <c r="J21" s="33">
        <f>'УК 2 кв. 2023г.'!J21+'УК 3 кв. 2023г.'!V21+'УК 3 кв. 2023г.'!W21</f>
        <v>1323758.71</v>
      </c>
      <c r="K21" s="33">
        <f>'УК 2 кв. 2023г.'!K21+'УК 3 кв. 2023г.'!I21</f>
        <v>1077269.74</v>
      </c>
      <c r="L21" s="32"/>
      <c r="M21" s="32"/>
      <c r="N21" s="33">
        <f>'УК 2 кв. 2023г.'!N21</f>
        <v>0</v>
      </c>
      <c r="O21" s="33">
        <f t="shared" si="1"/>
        <v>1077269.74</v>
      </c>
      <c r="P21" s="120">
        <f t="shared" si="0"/>
        <v>81.379614869540688</v>
      </c>
      <c r="R21" s="19">
        <f t="shared" ref="R21:R23" si="3">J21-K21</f>
        <v>246488.96999999997</v>
      </c>
      <c r="S21" s="19">
        <f t="shared" si="2"/>
        <v>235792.02000000002</v>
      </c>
      <c r="V21" s="37">
        <v>119067.42</v>
      </c>
      <c r="W21" s="37">
        <v>4377.72</v>
      </c>
    </row>
    <row r="22" spans="1:23" ht="35.25" customHeight="1">
      <c r="A22" s="32">
        <v>1</v>
      </c>
      <c r="B22" s="32" t="s">
        <v>28</v>
      </c>
      <c r="C22" s="103" t="s">
        <v>411</v>
      </c>
      <c r="D22" s="32">
        <v>2007</v>
      </c>
      <c r="E22" s="32"/>
      <c r="F22" s="33">
        <v>1202.9000000000001</v>
      </c>
      <c r="G22" s="32">
        <v>5.98</v>
      </c>
      <c r="H22" s="33">
        <f>'УК 2 кв. 2023г.'!H22-'УК 2 кв. 2023г.'!I22+V22+W22+X22</f>
        <v>152725.10999999999</v>
      </c>
      <c r="I22" s="33">
        <v>15053.26</v>
      </c>
      <c r="J22" s="33">
        <f>'УК 2 кв. 2023г.'!J22+'УК 3 кв. 2023г.'!V22+'УК 3 кв. 2023г.'!W22</f>
        <v>689187.58000000007</v>
      </c>
      <c r="K22" s="33">
        <f>'УК 2 кв. 2023г.'!K22+'УК 3 кв. 2023г.'!I22</f>
        <v>565146.58000000007</v>
      </c>
      <c r="L22" s="32"/>
      <c r="M22" s="32"/>
      <c r="N22" s="33">
        <f>'УК 2 кв. 2023г.'!N22</f>
        <v>0</v>
      </c>
      <c r="O22" s="33">
        <f>K22-N22</f>
        <v>565146.58000000007</v>
      </c>
      <c r="P22" s="120">
        <f>K22/J22*100</f>
        <v>82.001852093736233</v>
      </c>
      <c r="R22" s="19">
        <f t="shared" si="3"/>
        <v>124041</v>
      </c>
      <c r="S22" s="19">
        <f t="shared" si="2"/>
        <v>137671.84999999998</v>
      </c>
      <c r="V22" s="37">
        <v>21580.05</v>
      </c>
      <c r="W22" s="37">
        <v>2372.2600000000002</v>
      </c>
    </row>
    <row r="23" spans="1:23" ht="35.25" customHeight="1">
      <c r="A23" s="32">
        <v>1</v>
      </c>
      <c r="B23" s="32" t="s">
        <v>28</v>
      </c>
      <c r="C23" s="103" t="s">
        <v>412</v>
      </c>
      <c r="D23" s="32">
        <v>2006</v>
      </c>
      <c r="E23" s="32"/>
      <c r="F23" s="33">
        <v>1201.8</v>
      </c>
      <c r="G23" s="32">
        <v>5.98</v>
      </c>
      <c r="H23" s="33">
        <f>'УК 2 кв. 2023г.'!H23-'УК 2 кв. 2023г.'!I23+V23+W23+X23</f>
        <v>176779.73999999996</v>
      </c>
      <c r="I23" s="33">
        <v>19610.330000000002</v>
      </c>
      <c r="J23" s="33">
        <f>'УК 2 кв. 2023г.'!J23+'УК 3 кв. 2023г.'!V23+'УК 3 кв. 2023г.'!W23</f>
        <v>628288.19000000006</v>
      </c>
      <c r="K23" s="33">
        <f>'УК 2 кв. 2023г.'!K23+'УК 3 кв. 2023г.'!I23</f>
        <v>460423.45999999996</v>
      </c>
      <c r="L23" s="32"/>
      <c r="M23" s="32"/>
      <c r="N23" s="33">
        <f>'УК 2 кв. 2023г.'!N23</f>
        <v>369062</v>
      </c>
      <c r="O23" s="33">
        <f t="shared" si="1"/>
        <v>91361.459999999963</v>
      </c>
      <c r="P23" s="120">
        <f>K23/J23*100</f>
        <v>73.282208280884589</v>
      </c>
      <c r="R23" s="19">
        <f t="shared" si="3"/>
        <v>167864.7300000001</v>
      </c>
      <c r="S23" s="19">
        <f t="shared" si="2"/>
        <v>157169.40999999997</v>
      </c>
      <c r="V23" s="37">
        <v>21560.31</v>
      </c>
      <c r="W23" s="37">
        <v>3245.44</v>
      </c>
    </row>
    <row r="24" spans="1:23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37">
        <f>SUM(V16:V23)</f>
        <v>610491.45000000019</v>
      </c>
      <c r="W24" s="37">
        <f>SUM(W16:W23)</f>
        <v>35058.15</v>
      </c>
    </row>
    <row r="25" spans="1:23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3" s="17" customFormat="1" ht="17.25" customHeight="1">
      <c r="A26" s="4"/>
      <c r="C26" s="90" t="s">
        <v>437</v>
      </c>
      <c r="D26" s="90"/>
      <c r="E26" s="90"/>
      <c r="F26" s="90"/>
      <c r="G26" s="90"/>
      <c r="H26" s="90"/>
      <c r="I26" s="90"/>
      <c r="J26" s="90"/>
      <c r="K26" s="90"/>
      <c r="L26" s="4"/>
      <c r="P26" s="62"/>
    </row>
    <row r="27" spans="1:23" s="62" customFormat="1" ht="36" customHeight="1">
      <c r="A27" s="111"/>
      <c r="C27" s="15" t="s">
        <v>436</v>
      </c>
      <c r="D27" s="15"/>
      <c r="E27" s="15"/>
      <c r="F27" s="15"/>
      <c r="G27" s="15"/>
      <c r="H27" s="15"/>
      <c r="I27" s="15"/>
      <c r="J27" s="15"/>
      <c r="K27" s="15"/>
    </row>
    <row r="28" spans="1:23" s="17" customFormat="1" ht="16.5" hidden="1" customHeight="1">
      <c r="A28" s="4"/>
      <c r="C28" s="13" t="s">
        <v>414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3" s="17" customFormat="1" ht="17.25" hidden="1" customHeight="1">
      <c r="A29" s="4"/>
      <c r="C29" s="13" t="s">
        <v>415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3" s="17" customFormat="1" ht="21" hidden="1" customHeight="1">
      <c r="A30" s="4"/>
      <c r="C30" s="13" t="s">
        <v>416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3" s="17" customFormat="1" ht="20.25" hidden="1" customHeight="1">
      <c r="A31" s="4"/>
      <c r="C31" s="13" t="s">
        <v>417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3" s="17" customFormat="1" ht="15.75" hidden="1" customHeight="1">
      <c r="A32" s="4"/>
      <c r="C32" s="13" t="s">
        <v>418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2" hidden="1" customHeight="1">
      <c r="A33" s="4"/>
      <c r="C33" s="13" t="s">
        <v>419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2.75" hidden="1" customHeight="1">
      <c r="A34" s="4"/>
      <c r="C34" s="13" t="s">
        <v>420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2.75" hidden="1" customHeight="1">
      <c r="A35" s="4"/>
      <c r="C35" s="13" t="s">
        <v>421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0.75" customHeight="1">
      <c r="A36" s="4"/>
      <c r="C36" s="13" t="s">
        <v>422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6.5" customHeight="1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>
      <c r="A39" s="4" t="s">
        <v>435</v>
      </c>
      <c r="P39" s="62"/>
    </row>
    <row r="40" spans="1:16" s="17" customFormat="1" ht="15.75">
      <c r="A40" s="4" t="s">
        <v>59</v>
      </c>
      <c r="P40" s="62"/>
    </row>
    <row r="41" spans="1:16" s="17" customFormat="1" ht="15.75">
      <c r="A41" s="4"/>
      <c r="P41" s="62"/>
    </row>
    <row r="42" spans="1:16">
      <c r="A42" s="2" t="s">
        <v>48</v>
      </c>
    </row>
  </sheetData>
  <autoFilter ref="A15:W23"/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4"/>
  <sheetViews>
    <sheetView workbookViewId="0">
      <selection activeCell="O22" sqref="O22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</cols>
  <sheetData>
    <row r="1" spans="1:28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28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28" s="13" customFormat="1" ht="15.75">
      <c r="A3" s="187" t="str">
        <f>'УК 2 кв. 2023г.'!A4:O4</f>
        <v xml:space="preserve">по состоянию за 2 квартал 2023 года на 01 июля 2023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28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28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28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28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28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28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28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28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28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28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</row>
    <row r="14" spans="1:28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28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4750.7</v>
      </c>
      <c r="G15" s="32">
        <v>5.98</v>
      </c>
      <c r="H15" s="33">
        <f>'ТСЖ 1 кв.2023г.'!H15-'ТСЖ 1 кв.2023г.'!I15+X15+V15+W15</f>
        <v>457368.0500000001</v>
      </c>
      <c r="I15" s="33">
        <f>Z15+X15+AA15</f>
        <v>70017.990000000005</v>
      </c>
      <c r="J15" s="33">
        <f>'ТСЖ 1 кв.2023г.'!J15+Z15+AA15+X15</f>
        <v>2671659.1800000011</v>
      </c>
      <c r="K15" s="33">
        <f>'ТСЖ 1 кв.2023г.'!K15+'ТСЖ 2 кв.2023г.'!I15</f>
        <v>2369549.2399999998</v>
      </c>
      <c r="L15" s="43"/>
      <c r="M15" s="66"/>
      <c r="N15" s="33">
        <f>'ТСЖ 1 кв.2023г.'!N15</f>
        <v>426357.21</v>
      </c>
      <c r="O15" s="105">
        <f>K15-N15</f>
        <v>1943192.0299999998</v>
      </c>
      <c r="P15" s="74">
        <v>520817.08</v>
      </c>
      <c r="Q15" s="46">
        <f>K15/J15*100</f>
        <v>88.692047913087436</v>
      </c>
      <c r="S15" s="48">
        <f>J15-K15+16536.37</f>
        <v>318646.31000000134</v>
      </c>
      <c r="T15" s="48">
        <f>H15-I15</f>
        <v>387350.06000000011</v>
      </c>
      <c r="V15" s="48">
        <f>85263.48</f>
        <v>85263.48</v>
      </c>
      <c r="W15" s="48">
        <v>5370.56</v>
      </c>
      <c r="X15" s="49">
        <v>2377.66</v>
      </c>
      <c r="Z15" s="48">
        <f>67640.33-AA15</f>
        <v>67536.350000000006</v>
      </c>
      <c r="AA15" s="48">
        <v>103.98</v>
      </c>
    </row>
    <row r="16" spans="1:28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5.98</v>
      </c>
      <c r="H16" s="33">
        <f>'ТСЖ 1 кв.2023г.'!H16-'ТСЖ 1 кв.2023г.'!I16+X16+V16+W16</f>
        <v>112163.33999999998</v>
      </c>
      <c r="I16" s="33">
        <f t="shared" ref="I16:I29" si="0">Z16+X16+AA16</f>
        <v>41492.199999999997</v>
      </c>
      <c r="J16" s="33">
        <f>'ТСЖ 1 кв.2023г.'!J16+Z16+AA16+X16</f>
        <v>1100939.5700000003</v>
      </c>
      <c r="K16" s="33">
        <f>'ТСЖ 1 кв.2023г.'!K16+'ТСЖ 2 кв.2023г.'!I16</f>
        <v>1022757.3200000002</v>
      </c>
      <c r="L16" s="43"/>
      <c r="M16" s="66"/>
      <c r="N16" s="33">
        <f>'ТСЖ 1 кв.2023г.'!N16</f>
        <v>221688.82</v>
      </c>
      <c r="O16" s="105">
        <f t="shared" ref="O16:O29" si="1">K16-N16</f>
        <v>801068.50000000023</v>
      </c>
      <c r="P16" s="78">
        <v>264064.82</v>
      </c>
      <c r="Q16" s="46">
        <f>K16/J16*100</f>
        <v>92.89858843024416</v>
      </c>
      <c r="S16" s="48">
        <f t="shared" ref="S16:S29" si="2">J16-K16+X16</f>
        <v>78182.250000000116</v>
      </c>
      <c r="T16" s="48">
        <f t="shared" ref="T16:T29" si="3">H16-I16</f>
        <v>70671.139999999985</v>
      </c>
      <c r="V16" s="48">
        <v>34243.86</v>
      </c>
      <c r="W16" s="48">
        <v>1175.27</v>
      </c>
      <c r="Z16" s="48">
        <f>41492.2-AA16</f>
        <v>40783.409999999996</v>
      </c>
      <c r="AA16" s="48">
        <v>708.79</v>
      </c>
      <c r="AB16" s="48">
        <f>AA15+AA16</f>
        <v>812.77</v>
      </c>
    </row>
    <row r="17" spans="1:28" s="49" customFormat="1" ht="39.75" customHeight="1">
      <c r="A17" s="32">
        <v>1</v>
      </c>
      <c r="B17" s="60" t="s">
        <v>28</v>
      </c>
      <c r="C17" s="60" t="s">
        <v>402</v>
      </c>
      <c r="D17" s="60">
        <v>2002</v>
      </c>
      <c r="E17" s="60"/>
      <c r="F17" s="61">
        <v>1947.3</v>
      </c>
      <c r="G17" s="60">
        <v>5.98</v>
      </c>
      <c r="H17" s="33">
        <f>'ТСЖ 1 кв.2023г.'!H17-'ТСЖ 1 кв.2023г.'!I17+X17+V17+W17</f>
        <v>170096.0400000001</v>
      </c>
      <c r="I17" s="33">
        <f t="shared" si="0"/>
        <v>33015.11</v>
      </c>
      <c r="J17" s="33">
        <f>'ТСЖ 1 кв.2023г.'!J17+Z17+AA17+X17</f>
        <v>1128680.4499999993</v>
      </c>
      <c r="K17" s="33">
        <f>'ТСЖ 1 кв.2023г.'!K17+'ТСЖ 2 кв.2023г.'!I17</f>
        <v>989606.38</v>
      </c>
      <c r="L17" s="72"/>
      <c r="M17" s="73"/>
      <c r="N17" s="33">
        <f>'ТСЖ 1 кв.2023г.'!N17</f>
        <v>476040</v>
      </c>
      <c r="O17" s="105">
        <f t="shared" si="1"/>
        <v>513566.38</v>
      </c>
      <c r="P17" s="74">
        <v>253163.82</v>
      </c>
      <c r="Q17" s="65">
        <f>K17/J17*100</f>
        <v>87.678171443476373</v>
      </c>
      <c r="S17" s="48">
        <f t="shared" si="2"/>
        <v>139074.06999999925</v>
      </c>
      <c r="T17" s="48">
        <f t="shared" si="3"/>
        <v>137080.93000000011</v>
      </c>
      <c r="V17" s="48">
        <v>34934.550000000003</v>
      </c>
      <c r="W17" s="48">
        <v>2067.13</v>
      </c>
      <c r="Z17" s="48">
        <f>33015.11-AA17</f>
        <v>32930.949999999997</v>
      </c>
      <c r="AA17" s="48">
        <v>84.16</v>
      </c>
      <c r="AB17" s="48">
        <f>AB16+AA17</f>
        <v>896.93</v>
      </c>
    </row>
    <row r="18" spans="1:28" s="49" customFormat="1" ht="63.75" customHeight="1" thickBot="1">
      <c r="A18" s="32">
        <v>1</v>
      </c>
      <c r="B18" s="60" t="s">
        <v>28</v>
      </c>
      <c r="C18" s="60" t="s">
        <v>403</v>
      </c>
      <c r="D18" s="60">
        <v>2003</v>
      </c>
      <c r="E18" s="60"/>
      <c r="F18" s="61">
        <v>2990</v>
      </c>
      <c r="G18" s="60">
        <v>5.98</v>
      </c>
      <c r="H18" s="33">
        <f>'ТСЖ 1 кв.2023г.'!H18-'ТСЖ 1 кв.2023г.'!I18+X18+V18+W18</f>
        <v>218845.19000000012</v>
      </c>
      <c r="I18" s="33">
        <f t="shared" si="0"/>
        <v>40739.15</v>
      </c>
      <c r="J18" s="33">
        <f>'ТСЖ 1 кв.2023г.'!J18+Z18+AA18+X18</f>
        <v>1708980.9399999992</v>
      </c>
      <c r="K18" s="33">
        <f>'ТСЖ 1 кв.2023г.'!K18+'ТСЖ 2 кв.2023г.'!I18</f>
        <v>1541776.3599999999</v>
      </c>
      <c r="L18" s="72"/>
      <c r="M18" s="73"/>
      <c r="N18" s="33">
        <f>'ТСЖ 1 кв.2023г.'!N18</f>
        <v>731630</v>
      </c>
      <c r="O18" s="105">
        <f t="shared" si="1"/>
        <v>810146.35999999987</v>
      </c>
      <c r="P18" s="44">
        <v>378042.71</v>
      </c>
      <c r="Q18" s="65">
        <f t="shared" ref="Q18:Q28" si="4">K18/J18*100</f>
        <v>90.216123767887112</v>
      </c>
      <c r="S18" s="48">
        <f t="shared" si="2"/>
        <v>167204.57999999938</v>
      </c>
      <c r="T18" s="48">
        <f t="shared" si="3"/>
        <v>178106.04000000012</v>
      </c>
      <c r="V18" s="48">
        <v>53640.6</v>
      </c>
      <c r="W18" s="48">
        <v>2051.23</v>
      </c>
      <c r="Z18" s="48">
        <f>40739.15-AA18</f>
        <v>40699.919999999998</v>
      </c>
      <c r="AA18" s="48">
        <v>39.229999999999997</v>
      </c>
      <c r="AB18" s="48">
        <f t="shared" ref="AB18:AB28" si="5">AB17+AA18</f>
        <v>936.16</v>
      </c>
    </row>
    <row r="19" spans="1:28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5.98</v>
      </c>
      <c r="H19" s="33">
        <f>'ТСЖ 1 кв.2023г.'!H19-'ТСЖ 1 кв.2023г.'!I19+X19+V19+W19</f>
        <v>99076.18</v>
      </c>
      <c r="I19" s="33">
        <f t="shared" si="0"/>
        <v>33976.379999999997</v>
      </c>
      <c r="J19" s="33">
        <f>'ТСЖ 1 кв.2023г.'!J19+Z19+AA19+X19</f>
        <v>1041337.1499999998</v>
      </c>
      <c r="K19" s="33">
        <f>'ТСЖ 1 кв.2023г.'!K19+'ТСЖ 2 кв.2023г.'!I19</f>
        <v>907886.79</v>
      </c>
      <c r="L19" s="43"/>
      <c r="M19" s="66"/>
      <c r="N19" s="33">
        <f>'ТСЖ 1 кв.2023г.'!N19</f>
        <v>230810</v>
      </c>
      <c r="O19" s="105">
        <f t="shared" si="1"/>
        <v>677076.79</v>
      </c>
      <c r="P19" s="44">
        <v>252978.03</v>
      </c>
      <c r="Q19" s="46">
        <f>K19/J19*100</f>
        <v>87.184711502898011</v>
      </c>
      <c r="S19" s="93">
        <f t="shared" si="2"/>
        <v>133450.35999999975</v>
      </c>
      <c r="T19" s="93">
        <f t="shared" si="3"/>
        <v>65099.799999999996</v>
      </c>
      <c r="V19" s="93">
        <v>30472.86</v>
      </c>
      <c r="W19" s="93">
        <v>820.69</v>
      </c>
      <c r="Z19" s="93">
        <f>33976.38-AA19</f>
        <v>33955.449999999997</v>
      </c>
      <c r="AA19" s="93">
        <v>20.93</v>
      </c>
      <c r="AB19" s="48">
        <f t="shared" si="5"/>
        <v>957.08999999999992</v>
      </c>
    </row>
    <row r="20" spans="1:28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5.98</v>
      </c>
      <c r="H20" s="33">
        <f>'ТСЖ 1 кв.2023г.'!H20-'ТСЖ 1 кв.2023г.'!I20+X20+V20+W20</f>
        <v>82921.98</v>
      </c>
      <c r="I20" s="33">
        <f t="shared" si="0"/>
        <v>17457.39</v>
      </c>
      <c r="J20" s="33">
        <f>'ТСЖ 1 кв.2023г.'!J20+Z20+AA20+X20</f>
        <v>671336.42999999982</v>
      </c>
      <c r="K20" s="33">
        <f>'ТСЖ 1 кв.2023г.'!K20+'ТСЖ 2 кв.2023г.'!I20</f>
        <v>615225.17999999993</v>
      </c>
      <c r="L20" s="43"/>
      <c r="M20" s="66"/>
      <c r="N20" s="33">
        <f>'ТСЖ 1 кв.2023г.'!N20</f>
        <v>208003.99</v>
      </c>
      <c r="O20" s="105">
        <f t="shared" si="1"/>
        <v>407221.18999999994</v>
      </c>
      <c r="P20" s="74">
        <v>124839.69</v>
      </c>
      <c r="Q20" s="46">
        <f t="shared" si="4"/>
        <v>91.641858315360608</v>
      </c>
      <c r="S20" s="93">
        <f t="shared" si="2"/>
        <v>56111.249999999884</v>
      </c>
      <c r="T20" s="93">
        <f t="shared" si="3"/>
        <v>65464.59</v>
      </c>
      <c r="V20" s="93">
        <v>21330.69</v>
      </c>
      <c r="W20" s="93">
        <v>656.21</v>
      </c>
      <c r="Z20" s="93">
        <f>17457.39-AA20</f>
        <v>17456.91</v>
      </c>
      <c r="AA20" s="93">
        <v>0.48</v>
      </c>
      <c r="AB20" s="48">
        <f t="shared" si="5"/>
        <v>957.56999999999994</v>
      </c>
    </row>
    <row r="21" spans="1:28" s="92" customFormat="1" ht="52.5" customHeight="1" thickBot="1">
      <c r="A21" s="32">
        <v>1</v>
      </c>
      <c r="B21" s="60" t="s">
        <v>28</v>
      </c>
      <c r="C21" s="60" t="s">
        <v>391</v>
      </c>
      <c r="D21" s="60">
        <v>2012</v>
      </c>
      <c r="E21" s="60"/>
      <c r="F21" s="61">
        <v>2427.8000000000002</v>
      </c>
      <c r="G21" s="60">
        <v>5.98</v>
      </c>
      <c r="H21" s="33">
        <f>'ТСЖ 1 кв.2023г.'!H21-'ТСЖ 1 кв.2023г.'!I21+X21+V21+W21</f>
        <v>207900.37000000002</v>
      </c>
      <c r="I21" s="33">
        <f t="shared" si="0"/>
        <v>36081.81</v>
      </c>
      <c r="J21" s="33">
        <f>'ТСЖ 1 кв.2023г.'!J21+Z21+AA21+X21</f>
        <v>1359708.3399999999</v>
      </c>
      <c r="K21" s="33">
        <f>'ТСЖ 1 кв.2023г.'!K21+'ТСЖ 2 кв.2023г.'!I21</f>
        <v>1214679.1199999999</v>
      </c>
      <c r="L21" s="72"/>
      <c r="M21" s="61"/>
      <c r="N21" s="33">
        <f>'ТСЖ 1 кв.2023г.'!N21</f>
        <v>0</v>
      </c>
      <c r="O21" s="105">
        <f t="shared" si="1"/>
        <v>1214679.1199999999</v>
      </c>
      <c r="P21" s="44">
        <v>388089.32</v>
      </c>
      <c r="Q21" s="65">
        <f t="shared" si="4"/>
        <v>89.333799335230964</v>
      </c>
      <c r="S21" s="93">
        <f t="shared" si="2"/>
        <v>145029.21999999997</v>
      </c>
      <c r="T21" s="93">
        <f t="shared" si="3"/>
        <v>171818.56000000003</v>
      </c>
      <c r="V21" s="92">
        <v>43554.66</v>
      </c>
      <c r="W21" s="92">
        <v>1935.68</v>
      </c>
      <c r="Z21" s="93">
        <f>36081.81-AA21</f>
        <v>36050.659999999996</v>
      </c>
      <c r="AA21" s="93">
        <v>31.15</v>
      </c>
      <c r="AB21" s="48">
        <f t="shared" si="5"/>
        <v>988.71999999999991</v>
      </c>
    </row>
    <row r="22" spans="1:28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5.98</v>
      </c>
      <c r="H22" s="33">
        <f>'ТСЖ 1 кв.2023г.'!H22-'ТСЖ 1 кв.2023г.'!I22+X22+V22+W22</f>
        <v>120468.52000000003</v>
      </c>
      <c r="I22" s="33">
        <f t="shared" si="0"/>
        <v>41443.910000000003</v>
      </c>
      <c r="J22" s="33">
        <f>'ТСЖ 1 кв.2023г.'!J22+Z22+AA22+X22</f>
        <v>1184295.2300000004</v>
      </c>
      <c r="K22" s="33">
        <f>'ТСЖ 1 кв.2023г.'!K22+'ТСЖ 2 кв.2023г.'!I22</f>
        <v>1111441.97</v>
      </c>
      <c r="L22" s="43"/>
      <c r="M22" s="66"/>
      <c r="N22" s="33">
        <f>'ТСЖ 1 кв.2023г.'!N22</f>
        <v>454457.47</v>
      </c>
      <c r="O22" s="105">
        <f t="shared" si="1"/>
        <v>656984.5</v>
      </c>
      <c r="P22" s="74">
        <v>223464.31</v>
      </c>
      <c r="Q22" s="46">
        <f>K22/J22*100</f>
        <v>93.848386943177971</v>
      </c>
      <c r="S22" s="93">
        <f t="shared" si="2"/>
        <v>72853.260000000475</v>
      </c>
      <c r="T22" s="93">
        <f t="shared" si="3"/>
        <v>79024.61000000003</v>
      </c>
      <c r="V22" s="93">
        <v>37277.550000000003</v>
      </c>
      <c r="W22" s="93">
        <v>1254.83</v>
      </c>
      <c r="Z22" s="93">
        <f>41443.91-AA22</f>
        <v>40616.850000000006</v>
      </c>
      <c r="AA22" s="93">
        <v>827.06</v>
      </c>
      <c r="AB22" s="48">
        <f t="shared" si="5"/>
        <v>1815.7799999999997</v>
      </c>
    </row>
    <row r="23" spans="1:28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5.98</v>
      </c>
      <c r="H23" s="33">
        <f>'ТСЖ 1 кв.2023г.'!H23-'ТСЖ 1 кв.2023г.'!I23+X23+V23+W23</f>
        <v>54761.549999999996</v>
      </c>
      <c r="I23" s="33">
        <f t="shared" si="0"/>
        <v>31502.17</v>
      </c>
      <c r="J23" s="33">
        <f>'ТСЖ 1 кв.2023г.'!J23+Z23+AA23+X23</f>
        <v>1182793.4099999997</v>
      </c>
      <c r="K23" s="33">
        <f>'ТСЖ 1 кв.2023г.'!K23+'ТСЖ 2 кв.2023г.'!I23</f>
        <v>1163970.45</v>
      </c>
      <c r="L23" s="43"/>
      <c r="M23" s="66"/>
      <c r="N23" s="33">
        <f>'ТСЖ 1 кв.2023г.'!N23</f>
        <v>435700.47000000003</v>
      </c>
      <c r="O23" s="105">
        <f t="shared" si="1"/>
        <v>728269.98</v>
      </c>
      <c r="P23" s="78">
        <v>243907.98</v>
      </c>
      <c r="Q23" s="46">
        <f t="shared" si="4"/>
        <v>98.408601211263118</v>
      </c>
      <c r="S23" s="93">
        <f t="shared" si="2"/>
        <v>18822.95999999973</v>
      </c>
      <c r="T23" s="93">
        <f t="shared" si="3"/>
        <v>23259.379999999997</v>
      </c>
      <c r="V23" s="93">
        <v>37431.870000000003</v>
      </c>
      <c r="W23" s="93">
        <v>219.85</v>
      </c>
      <c r="Z23" s="93">
        <f>31502.17-AA23</f>
        <v>31463.96</v>
      </c>
      <c r="AA23" s="93">
        <v>38.21</v>
      </c>
      <c r="AB23" s="48">
        <f t="shared" si="5"/>
        <v>1853.9899999999998</v>
      </c>
    </row>
    <row r="24" spans="1:28" s="92" customFormat="1" ht="30.75" thickBot="1">
      <c r="A24" s="32">
        <v>1</v>
      </c>
      <c r="B24" s="60" t="s">
        <v>28</v>
      </c>
      <c r="C24" s="60" t="s">
        <v>394</v>
      </c>
      <c r="D24" s="60">
        <v>1996</v>
      </c>
      <c r="E24" s="60"/>
      <c r="F24" s="61">
        <v>2824.4</v>
      </c>
      <c r="G24" s="60">
        <v>5.98</v>
      </c>
      <c r="H24" s="33">
        <f>'ТСЖ 1 кв.2023г.'!H24-'ТСЖ 1 кв.2023г.'!I24+X24+V24+W24</f>
        <v>249519.45000000007</v>
      </c>
      <c r="I24" s="33">
        <f t="shared" si="0"/>
        <v>53394.33</v>
      </c>
      <c r="J24" s="33">
        <f>'ТСЖ 1 кв.2023г.'!J24+Z24+AA24+X24</f>
        <v>1608224.2700000005</v>
      </c>
      <c r="K24" s="33">
        <f>'ТСЖ 1 кв.2023г.'!K24+'ТСЖ 2 кв.2023г.'!I24</f>
        <v>1438007.7600000002</v>
      </c>
      <c r="L24" s="72"/>
      <c r="M24" s="61"/>
      <c r="N24" s="33">
        <f>'ТСЖ 1 кв.2023г.'!N24</f>
        <v>124391</v>
      </c>
      <c r="O24" s="105">
        <f t="shared" si="1"/>
        <v>1313616.7600000002</v>
      </c>
      <c r="P24" s="44">
        <v>420551</v>
      </c>
      <c r="Q24" s="65">
        <f>K24/J24*100</f>
        <v>89.41587232730916</v>
      </c>
      <c r="S24" s="93">
        <f>J24-K24+3064.16</f>
        <v>173280.67000000025</v>
      </c>
      <c r="T24" s="93">
        <f t="shared" si="3"/>
        <v>196125.12000000005</v>
      </c>
      <c r="V24" s="93">
        <v>50669.73</v>
      </c>
      <c r="W24" s="93">
        <f>2758.73-429.31</f>
        <v>2329.42</v>
      </c>
      <c r="X24" s="92">
        <v>1603.29</v>
      </c>
      <c r="Z24" s="93">
        <f>51791.04-AA24</f>
        <v>50847.360000000001</v>
      </c>
      <c r="AA24" s="93">
        <v>943.68</v>
      </c>
      <c r="AB24" s="48">
        <f t="shared" si="5"/>
        <v>2797.6699999999996</v>
      </c>
    </row>
    <row r="25" spans="1:28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5.98</v>
      </c>
      <c r="H25" s="33">
        <f>'ТСЖ 1 кв.2023г.'!H25-'ТСЖ 1 кв.2023г.'!I25+X25+V25+W25</f>
        <v>63988.870000000017</v>
      </c>
      <c r="I25" s="33">
        <f t="shared" si="0"/>
        <v>15408.41</v>
      </c>
      <c r="J25" s="33">
        <f>'ТСЖ 1 кв.2023г.'!J25+Z25+AA25+X25</f>
        <v>634722.28</v>
      </c>
      <c r="K25" s="33">
        <f>'ТСЖ 1 кв.2023г.'!K25+'ТСЖ 2 кв.2023г.'!I25</f>
        <v>599972.66</v>
      </c>
      <c r="L25" s="43"/>
      <c r="M25" s="66"/>
      <c r="N25" s="33">
        <f>'ТСЖ 1 кв.2023г.'!N25</f>
        <v>248930</v>
      </c>
      <c r="O25" s="105">
        <f t="shared" si="1"/>
        <v>351042.66000000003</v>
      </c>
      <c r="P25" s="44">
        <v>146097.04999999999</v>
      </c>
      <c r="Q25" s="46">
        <f t="shared" si="4"/>
        <v>94.525224480854845</v>
      </c>
      <c r="S25" s="93">
        <f t="shared" si="2"/>
        <v>34749.619999999995</v>
      </c>
      <c r="T25" s="93">
        <f t="shared" si="3"/>
        <v>48580.460000000021</v>
      </c>
      <c r="U25" s="93"/>
      <c r="V25" s="93">
        <v>20361.900000000001</v>
      </c>
      <c r="W25" s="93">
        <v>737.7</v>
      </c>
      <c r="Z25" s="93">
        <f>15408.41-AA25</f>
        <v>15395.53</v>
      </c>
      <c r="AA25" s="93">
        <v>12.88</v>
      </c>
      <c r="AB25" s="48">
        <f t="shared" si="5"/>
        <v>2810.5499999999997</v>
      </c>
    </row>
    <row r="26" spans="1:28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5.98</v>
      </c>
      <c r="H26" s="33">
        <f>'ТСЖ 1 кв.2023г.'!H26-'ТСЖ 1 кв.2023г.'!I26+X26+V26+W26</f>
        <v>191059.36999999991</v>
      </c>
      <c r="I26" s="33">
        <f t="shared" si="0"/>
        <v>42818.73</v>
      </c>
      <c r="J26" s="33">
        <f>'ТСЖ 1 кв.2023г.'!J26+Z26+AA26+X26</f>
        <v>1208138.9800000002</v>
      </c>
      <c r="K26" s="33">
        <f>'ТСЖ 1 кв.2023г.'!K26+'ТСЖ 2 кв.2023г.'!I26</f>
        <v>1073334.2100000002</v>
      </c>
      <c r="L26" s="43"/>
      <c r="M26" s="33"/>
      <c r="N26" s="33">
        <f>'ТСЖ 1 кв.2023г.'!N26</f>
        <v>532320</v>
      </c>
      <c r="O26" s="105">
        <f t="shared" si="1"/>
        <v>541014.2100000002</v>
      </c>
      <c r="P26" s="44">
        <v>235115.53</v>
      </c>
      <c r="Q26" s="46">
        <f>K26/J26*100</f>
        <v>88.841948465233685</v>
      </c>
      <c r="S26" s="93">
        <f t="shared" si="2"/>
        <v>134804.77000000002</v>
      </c>
      <c r="T26" s="93">
        <f t="shared" si="3"/>
        <v>148240.6399999999</v>
      </c>
      <c r="V26" s="93">
        <v>38020.17</v>
      </c>
      <c r="W26" s="93">
        <v>2054.41</v>
      </c>
      <c r="Z26" s="93">
        <f>42818.73-AA26</f>
        <v>40585.740000000005</v>
      </c>
      <c r="AA26" s="93">
        <v>2232.9899999999998</v>
      </c>
      <c r="AB26" s="48">
        <f t="shared" si="5"/>
        <v>5043.5399999999991</v>
      </c>
    </row>
    <row r="27" spans="1:28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5.98</v>
      </c>
      <c r="H27" s="33">
        <f>'ТСЖ 1 кв.2023г.'!H27-'ТСЖ 1 кв.2023г.'!I27+X27+V27+W27</f>
        <v>184899.73999999996</v>
      </c>
      <c r="I27" s="33">
        <f t="shared" si="0"/>
        <v>32323.99</v>
      </c>
      <c r="J27" s="33">
        <f>'ТСЖ 1 кв.2023г.'!J27+Z27+AA27+X27</f>
        <v>1186788.1000000003</v>
      </c>
      <c r="K27" s="33">
        <f>'ТСЖ 1 кв.2023г.'!K27+'ТСЖ 2 кв.2023г.'!I27</f>
        <v>1052693.0100000002</v>
      </c>
      <c r="L27" s="43"/>
      <c r="M27" s="66"/>
      <c r="N27" s="33">
        <f>'ТСЖ 1 кв.2023г.'!N27</f>
        <v>475020</v>
      </c>
      <c r="O27" s="105">
        <f t="shared" si="1"/>
        <v>577673.01000000024</v>
      </c>
      <c r="P27" s="44">
        <v>287247.24</v>
      </c>
      <c r="Q27" s="46">
        <f>K27/J27*100</f>
        <v>88.701008208626291</v>
      </c>
      <c r="S27" s="93">
        <f t="shared" si="2"/>
        <v>134095.09000000008</v>
      </c>
      <c r="T27" s="93">
        <f t="shared" si="3"/>
        <v>152575.74999999997</v>
      </c>
      <c r="V27" s="93">
        <v>37575.33</v>
      </c>
      <c r="W27" s="93">
        <v>1870.78</v>
      </c>
      <c r="Z27" s="93">
        <f>32323.99-AA27</f>
        <v>32254.780000000002</v>
      </c>
      <c r="AA27" s="93">
        <v>69.209999999999994</v>
      </c>
      <c r="AB27" s="48">
        <f t="shared" si="5"/>
        <v>5112.7499999999991</v>
      </c>
    </row>
    <row r="28" spans="1:28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5.98</v>
      </c>
      <c r="H28" s="33">
        <f>'ТСЖ 1 кв.2023г.'!H28-'ТСЖ 1 кв.2023г.'!I28+X28+V28+W28</f>
        <v>213116.64</v>
      </c>
      <c r="I28" s="33">
        <f t="shared" si="0"/>
        <v>47863.63</v>
      </c>
      <c r="J28" s="33">
        <f>'ТСЖ 1 кв.2023г.'!J28+Z28+AA28+X28</f>
        <v>1825143.3200000003</v>
      </c>
      <c r="K28" s="33">
        <f>'ТСЖ 1 кв.2023г.'!K28+'ТСЖ 2 кв.2023г.'!I28</f>
        <v>1687142.4999999995</v>
      </c>
      <c r="L28" s="43"/>
      <c r="M28" s="33"/>
      <c r="N28" s="33">
        <f>'ТСЖ 1 кв.2023г.'!N28</f>
        <v>774822</v>
      </c>
      <c r="O28" s="105">
        <f t="shared" si="1"/>
        <v>912320.49999999953</v>
      </c>
      <c r="P28" s="44">
        <v>354498.41</v>
      </c>
      <c r="Q28" s="46">
        <f t="shared" si="4"/>
        <v>92.438905017059113</v>
      </c>
      <c r="S28" s="93">
        <f t="shared" si="2"/>
        <v>138000.82000000076</v>
      </c>
      <c r="T28" s="93">
        <f t="shared" si="3"/>
        <v>165253.01</v>
      </c>
      <c r="U28" s="93"/>
      <c r="V28" s="93">
        <v>57867.21</v>
      </c>
      <c r="W28" s="93">
        <v>2222.63</v>
      </c>
      <c r="Z28" s="93">
        <f>47863.63-AA28</f>
        <v>47796.479999999996</v>
      </c>
      <c r="AA28" s="93">
        <v>67.150000000000006</v>
      </c>
      <c r="AB28" s="48">
        <f t="shared" si="5"/>
        <v>5179.8999999999987</v>
      </c>
    </row>
    <row r="29" spans="1:28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5.98</v>
      </c>
      <c r="H29" s="33">
        <f>'ТСЖ 1 кв.2023г.'!H29-'ТСЖ 1 кв.2023г.'!I29+X29+V29+W29</f>
        <v>205600.60999999987</v>
      </c>
      <c r="I29" s="33">
        <f t="shared" si="0"/>
        <v>33630.49</v>
      </c>
      <c r="J29" s="33">
        <f>'ТСЖ 1 кв.2023г.'!J29+Z29+AA29+X29</f>
        <v>1199064.3299999996</v>
      </c>
      <c r="K29" s="33">
        <f>'ТСЖ 1 кв.2023г.'!K29+'ТСЖ 2 кв.2023г.'!I29</f>
        <v>1058439.3800000001</v>
      </c>
      <c r="L29" s="43"/>
      <c r="M29" s="66"/>
      <c r="N29" s="33">
        <f>'ТСЖ 1 кв.2023г.'!N29</f>
        <v>721587</v>
      </c>
      <c r="O29" s="105">
        <f t="shared" si="1"/>
        <v>336852.38000000012</v>
      </c>
      <c r="P29" s="44">
        <v>309141.18</v>
      </c>
      <c r="Q29" s="46">
        <f>K29/J29*100</f>
        <v>88.272109637353694</v>
      </c>
      <c r="S29" s="48">
        <f t="shared" si="2"/>
        <v>140624.94999999949</v>
      </c>
      <c r="T29" s="48">
        <f t="shared" si="3"/>
        <v>171970.11999999988</v>
      </c>
      <c r="V29" s="93">
        <v>38310.870000000003</v>
      </c>
      <c r="W29" s="93">
        <v>2391.14</v>
      </c>
      <c r="Z29" s="48">
        <f>33630.49-AA29</f>
        <v>32517.42</v>
      </c>
      <c r="AA29" s="48">
        <v>1113.07</v>
      </c>
      <c r="AB29" s="48">
        <f>AB28+AA29</f>
        <v>6292.9699999999984</v>
      </c>
    </row>
    <row r="30" spans="1:28" ht="12.75" hidden="1" customHeight="1">
      <c r="A30" s="2"/>
      <c r="O30" s="119">
        <f>SUM(O15:O29)</f>
        <v>11784724.370000001</v>
      </c>
      <c r="S30" s="3">
        <f>SUM(S15:S29)</f>
        <v>1884930.1800000006</v>
      </c>
      <c r="V30" s="3">
        <f>SUM(V15:V29)</f>
        <v>620955.32999999996</v>
      </c>
      <c r="W30" s="3">
        <f>SUM(W15:W29)</f>
        <v>27157.530000000002</v>
      </c>
      <c r="Z30" s="3">
        <f>SUM(Z15:Z29)</f>
        <v>560891.77000000014</v>
      </c>
      <c r="AA30" s="3">
        <f>SUM(AA15:AA29)</f>
        <v>6292.9699999999984</v>
      </c>
    </row>
    <row r="31" spans="1:28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8" ht="18.75" customHeight="1">
      <c r="A32" s="2"/>
      <c r="B32" s="107" t="s">
        <v>164</v>
      </c>
      <c r="C32" s="182" t="s">
        <v>432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idden="1">
      <c r="A33" s="2"/>
      <c r="B33" s="108" t="s">
        <v>165</v>
      </c>
      <c r="C33" s="202" t="s">
        <v>303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27" hidden="1">
      <c r="A34" s="2"/>
      <c r="B34" s="108" t="s">
        <v>166</v>
      </c>
      <c r="C34" s="202" t="s">
        <v>336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27" ht="15.75" hidden="1" customHeight="1">
      <c r="A35" s="2"/>
      <c r="B35" s="108" t="s">
        <v>167</v>
      </c>
      <c r="C35" s="202" t="s">
        <v>337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27" ht="15.75" hidden="1" customHeight="1">
      <c r="A36" s="2"/>
      <c r="B36" s="108" t="s">
        <v>168</v>
      </c>
      <c r="C36" s="202" t="s">
        <v>338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27" hidden="1">
      <c r="A37" s="2"/>
      <c r="B37" s="108" t="s">
        <v>165</v>
      </c>
      <c r="C37" s="202" t="s">
        <v>339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27" hidden="1">
      <c r="A38" s="2"/>
      <c r="B38" s="108" t="s">
        <v>166</v>
      </c>
      <c r="C38" s="202" t="s">
        <v>340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27" ht="15.75" hidden="1" customHeight="1">
      <c r="A39" s="2"/>
      <c r="B39" s="108" t="s">
        <v>167</v>
      </c>
      <c r="C39" s="202" t="s">
        <v>341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27" ht="15.75" hidden="1" customHeight="1">
      <c r="A40" s="2"/>
      <c r="B40" s="108" t="s">
        <v>168</v>
      </c>
      <c r="C40" s="202" t="s">
        <v>342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27" ht="15" hidden="1" customHeight="1">
      <c r="A41" s="2"/>
      <c r="B41" s="108" t="s">
        <v>171</v>
      </c>
      <c r="C41" s="202" t="s">
        <v>343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7" ht="15.75" hidden="1" customHeight="1">
      <c r="A42" s="2"/>
      <c r="B42" s="108" t="s">
        <v>176</v>
      </c>
      <c r="C42" s="202" t="s">
        <v>344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27" ht="15.75" hidden="1" customHeight="1">
      <c r="A43" s="2"/>
      <c r="B43" s="108" t="s">
        <v>177</v>
      </c>
      <c r="C43" s="202" t="s">
        <v>345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27" ht="15.75">
      <c r="A44" s="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27" s="27" customFormat="1" ht="15.75">
      <c r="A45" s="123" t="s">
        <v>433</v>
      </c>
      <c r="I45" s="28"/>
      <c r="Z45" s="28"/>
      <c r="AA45" s="28"/>
    </row>
    <row r="46" spans="1:27" s="27" customFormat="1" ht="15.75">
      <c r="A46" s="4"/>
      <c r="I46" s="28"/>
      <c r="Z46" s="28"/>
      <c r="AA46" s="28"/>
    </row>
    <row r="47" spans="1:27" s="27" customFormat="1" ht="15.75">
      <c r="A47" s="4"/>
      <c r="I47" s="28"/>
      <c r="Z47" s="28"/>
      <c r="AA47" s="28"/>
    </row>
    <row r="48" spans="1:27" s="27" customFormat="1" ht="15.75">
      <c r="A48" s="4" t="s">
        <v>47</v>
      </c>
      <c r="I48" s="28"/>
      <c r="Z48" s="28"/>
      <c r="AA48" s="28"/>
    </row>
    <row r="49" spans="1:27" s="27" customFormat="1" ht="15.75">
      <c r="A49" s="30" t="s">
        <v>48</v>
      </c>
      <c r="I49" s="28"/>
      <c r="Z49" s="28"/>
      <c r="AA49" s="28"/>
    </row>
    <row r="50" spans="1:27">
      <c r="A50" s="1"/>
    </row>
    <row r="51" spans="1:27">
      <c r="A51" s="1"/>
      <c r="K51" s="3"/>
    </row>
    <row r="52" spans="1:27">
      <c r="A52" s="1"/>
    </row>
    <row r="53" spans="1:27">
      <c r="A53" s="1"/>
    </row>
    <row r="54" spans="1:27">
      <c r="A54" s="1"/>
    </row>
    <row r="55" spans="1:27">
      <c r="A55" s="1"/>
    </row>
    <row r="56" spans="1:27">
      <c r="A56" s="1"/>
    </row>
    <row r="57" spans="1:27">
      <c r="A57" s="1"/>
    </row>
    <row r="58" spans="1:27">
      <c r="A58" s="1"/>
    </row>
    <row r="59" spans="1:27">
      <c r="A59" s="1"/>
    </row>
    <row r="60" spans="1:27">
      <c r="A60" s="1"/>
    </row>
    <row r="61" spans="1:27">
      <c r="A61" s="1"/>
    </row>
    <row r="62" spans="1:27">
      <c r="A62" s="1"/>
    </row>
    <row r="63" spans="1:27">
      <c r="A63" s="1"/>
    </row>
    <row r="64" spans="1:27">
      <c r="A64" s="1"/>
    </row>
  </sheetData>
  <autoFilter ref="A13:AA43"/>
  <mergeCells count="36">
    <mergeCell ref="C43:O43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F11:F13"/>
    <mergeCell ref="G11:G13"/>
    <mergeCell ref="H11:I11"/>
    <mergeCell ref="J11:K11"/>
    <mergeCell ref="L11:N11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opLeftCell="A13" zoomScaleNormal="100" workbookViewId="0">
      <selection activeCell="O22" sqref="O22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428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5.98</v>
      </c>
      <c r="H16" s="33">
        <f>'УК 1 кв. 2023г.'!H16-'УК 1 кв. 2023г.'!I16+V16+W16+X16</f>
        <v>432575.46999999991</v>
      </c>
      <c r="I16" s="33">
        <v>148439.06</v>
      </c>
      <c r="J16" s="33">
        <f>'УК 1 кв. 2023г.'!J16+'УК 2 кв. 2023г.'!V16+'УК 2 кв. 2023г.'!W16</f>
        <v>5323093.3899999987</v>
      </c>
      <c r="K16" s="33">
        <f>'УК 1 кв. 2023г.'!K16+'УК 2 кв. 2023г.'!I16</f>
        <v>5119733.67</v>
      </c>
      <c r="L16" s="64"/>
      <c r="M16" s="47"/>
      <c r="N16" s="33">
        <f>'УК 1 кв. 2023г.'!N16</f>
        <v>894970.86</v>
      </c>
      <c r="O16" s="33">
        <f>K16-N16</f>
        <v>4224762.8099999996</v>
      </c>
      <c r="P16" s="110">
        <f>K16/J16*100</f>
        <v>96.179670257485398</v>
      </c>
      <c r="R16" s="19">
        <f>J16-K16</f>
        <v>203359.71999999881</v>
      </c>
      <c r="S16" s="19">
        <f>H16-I16</f>
        <v>284136.40999999992</v>
      </c>
      <c r="V16" s="19">
        <v>167156.01</v>
      </c>
      <c r="W16" s="19">
        <v>2333.19</v>
      </c>
    </row>
    <row r="17" spans="1:23" s="15" customFormat="1" ht="48.7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2" t="s">
        <v>58</v>
      </c>
      <c r="G17" s="32">
        <v>8.33</v>
      </c>
      <c r="H17" s="33">
        <f>'УК 1 кв. 2023г.'!H17-'УК 1 кв. 2023г.'!I17+V17+W17+X17</f>
        <v>125778.58000000006</v>
      </c>
      <c r="I17" s="33">
        <v>66433.509999999995</v>
      </c>
      <c r="J17" s="33">
        <f>'УК 1 кв. 2023г.'!J17+'УК 2 кв. 2023г.'!V17+'УК 2 кв. 2023г.'!W17</f>
        <v>1656357.6300000004</v>
      </c>
      <c r="K17" s="33">
        <f>'УК 1 кв. 2023г.'!K17+'УК 2 кв. 2023г.'!I17</f>
        <v>1597012.56</v>
      </c>
      <c r="L17" s="32"/>
      <c r="M17" s="32"/>
      <c r="N17" s="33">
        <f>'УК 1 кв. 2023г.'!N17</f>
        <v>0</v>
      </c>
      <c r="O17" s="33">
        <f>K17-N17</f>
        <v>1597012.56</v>
      </c>
      <c r="P17" s="110">
        <f t="shared" ref="P17:P21" si="0">K17/J17*100</f>
        <v>96.41713426345008</v>
      </c>
      <c r="R17" s="19">
        <f>J17-K17</f>
        <v>59345.070000000298</v>
      </c>
      <c r="S17" s="19">
        <f>H17-I17</f>
        <v>59345.070000000065</v>
      </c>
      <c r="V17" s="19">
        <v>77064.210000000006</v>
      </c>
      <c r="W17" s="19">
        <v>1173.05</v>
      </c>
    </row>
    <row r="18" spans="1:23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8.33</v>
      </c>
      <c r="H18" s="33">
        <f>'УК 1 кв. 2023г.'!H18-'УК 1 кв. 2023г.'!I18+V18+W18+X18</f>
        <v>550754.82000000007</v>
      </c>
      <c r="I18" s="33">
        <v>57718.87</v>
      </c>
      <c r="J18" s="33">
        <f>'УК 1 кв. 2023г.'!J18+'УК 2 кв. 2023г.'!V18+'УК 2 кв. 2023г.'!W18</f>
        <v>1998945.3300000003</v>
      </c>
      <c r="K18" s="33">
        <f>'УК 1 кв. 2023г.'!K18+'УК 2 кв. 2023г.'!I18</f>
        <v>1505909.38</v>
      </c>
      <c r="L18" s="34"/>
      <c r="M18" s="89"/>
      <c r="N18" s="33">
        <f>'УК 1 кв. 2023г.'!N18</f>
        <v>365967</v>
      </c>
      <c r="O18" s="33">
        <f>K18-N18</f>
        <v>1139942.3799999999</v>
      </c>
      <c r="P18" s="110">
        <f t="shared" si="0"/>
        <v>75.335195885522282</v>
      </c>
      <c r="R18" s="19">
        <f>J18-K18</f>
        <v>493035.95000000042</v>
      </c>
      <c r="S18" s="19">
        <f>H18-I18</f>
        <v>493035.95000000007</v>
      </c>
      <c r="V18" s="19">
        <v>62904.78</v>
      </c>
      <c r="W18" s="19">
        <v>5850.8</v>
      </c>
    </row>
    <row r="19" spans="1:23" s="15" customFormat="1" ht="33" customHeight="1">
      <c r="A19" s="32">
        <v>1</v>
      </c>
      <c r="B19" s="32" t="s">
        <v>28</v>
      </c>
      <c r="C19" s="103" t="s">
        <v>408</v>
      </c>
      <c r="D19" s="32">
        <v>2012</v>
      </c>
      <c r="E19" s="32"/>
      <c r="F19" s="33">
        <v>2729.9</v>
      </c>
      <c r="G19" s="32">
        <v>8.33</v>
      </c>
      <c r="H19" s="33">
        <f>'УК 1 кв. 2023г.'!H19-'УК 1 кв. 2023г.'!I19+V19+W19+X19</f>
        <v>316034.19999999995</v>
      </c>
      <c r="I19" s="33">
        <v>56161.66</v>
      </c>
      <c r="J19" s="33">
        <f>'УК 1 кв. 2023г.'!J19+'УК 2 кв. 2023г.'!V19+'УК 2 кв. 2023г.'!W19</f>
        <v>2204713.62</v>
      </c>
      <c r="K19" s="33">
        <f>'УК 1 кв. 2023г.'!K19+'УК 2 кв. 2023г.'!I19</f>
        <v>1944841.0799999998</v>
      </c>
      <c r="L19" s="43"/>
      <c r="M19" s="91"/>
      <c r="N19" s="33">
        <f>'УК 1 кв. 2023г.'!N19</f>
        <v>755760.4</v>
      </c>
      <c r="O19" s="33">
        <f t="shared" ref="O19:O23" si="1">K19-N19</f>
        <v>1189080.6799999997</v>
      </c>
      <c r="P19" s="120">
        <f t="shared" si="0"/>
        <v>88.212866394865358</v>
      </c>
      <c r="R19" s="19">
        <f>J19-K19</f>
        <v>259872.54000000027</v>
      </c>
      <c r="S19" s="19">
        <f t="shared" ref="S19:S23" si="2">H19-I19</f>
        <v>259872.53999999995</v>
      </c>
      <c r="U19" s="19"/>
      <c r="V19" s="19">
        <v>68220.33</v>
      </c>
      <c r="W19" s="19">
        <v>2832.79</v>
      </c>
    </row>
    <row r="20" spans="1:23" ht="35.25" customHeight="1">
      <c r="A20" s="32">
        <v>1</v>
      </c>
      <c r="B20" s="32" t="s">
        <v>28</v>
      </c>
      <c r="C20" s="103" t="s">
        <v>409</v>
      </c>
      <c r="D20" s="32">
        <v>2007</v>
      </c>
      <c r="E20" s="32"/>
      <c r="F20" s="33">
        <v>2918.7</v>
      </c>
      <c r="G20" s="32">
        <v>8.33</v>
      </c>
      <c r="H20" s="33">
        <f>'УК 1 кв. 2023г.'!H20-'УК 1 кв. 2023г.'!I20+V20+W20+X20</f>
        <v>84685.599999999962</v>
      </c>
      <c r="I20" s="33">
        <v>74219.289999999994</v>
      </c>
      <c r="J20" s="33">
        <f>'УК 1 кв. 2023г.'!J20+'УК 2 кв. 2023г.'!V20+'УК 2 кв. 2023г.'!W20</f>
        <v>2349685.39</v>
      </c>
      <c r="K20" s="33">
        <f>'УК 1 кв. 2023г.'!K20+'УК 2 кв. 2023г.'!I20</f>
        <v>2085882.5500000003</v>
      </c>
      <c r="L20" s="32"/>
      <c r="M20" s="32"/>
      <c r="N20" s="33">
        <f>'УК 1 кв. 2023г.'!N20</f>
        <v>650595</v>
      </c>
      <c r="O20" s="33">
        <f t="shared" si="1"/>
        <v>1435287.5500000003</v>
      </c>
      <c r="P20" s="120">
        <f t="shared" si="0"/>
        <v>88.77284418064157</v>
      </c>
      <c r="R20" s="19">
        <f>J20-K20</f>
        <v>263802.83999999985</v>
      </c>
      <c r="S20" s="19">
        <f t="shared" si="2"/>
        <v>10466.309999999969</v>
      </c>
      <c r="V20" s="37">
        <v>72938.34</v>
      </c>
      <c r="W20" s="37">
        <v>4295.66</v>
      </c>
    </row>
    <row r="21" spans="1:23" ht="35.25" customHeight="1">
      <c r="A21" s="32">
        <v>1</v>
      </c>
      <c r="B21" s="32" t="s">
        <v>28</v>
      </c>
      <c r="C21" s="103" t="s">
        <v>410</v>
      </c>
      <c r="D21" s="32">
        <v>2018</v>
      </c>
      <c r="E21" s="32"/>
      <c r="F21" s="33">
        <v>4764.6000000000004</v>
      </c>
      <c r="G21" s="32">
        <v>8.33</v>
      </c>
      <c r="H21" s="33">
        <f>'УК 1 кв. 2023г.'!H21-'УК 1 кв. 2023г.'!I21+V21+W21+X21</f>
        <v>299179.53000000003</v>
      </c>
      <c r="I21" s="33">
        <v>99123.59</v>
      </c>
      <c r="J21" s="33">
        <f>'УК 1 кв. 2023г.'!J21+'УК 2 кв. 2023г.'!V21+'УК 2 кв. 2023г.'!W21</f>
        <v>1200313.57</v>
      </c>
      <c r="K21" s="33">
        <f>'УК 1 кв. 2023г.'!K21+'УК 2 кв. 2023г.'!I21</f>
        <v>989560.67999999993</v>
      </c>
      <c r="L21" s="32"/>
      <c r="M21" s="32"/>
      <c r="N21" s="33">
        <f>'УК 1 кв. 2023г.'!N21</f>
        <v>0</v>
      </c>
      <c r="O21" s="33">
        <f t="shared" si="1"/>
        <v>989560.67999999993</v>
      </c>
      <c r="P21" s="120">
        <f t="shared" si="0"/>
        <v>82.441847258296008</v>
      </c>
      <c r="R21" s="19">
        <f t="shared" ref="R21:R23" si="3">J21-K21</f>
        <v>210752.89000000013</v>
      </c>
      <c r="S21" s="19">
        <f t="shared" si="2"/>
        <v>200055.94000000003</v>
      </c>
      <c r="V21" s="37">
        <v>119067.42</v>
      </c>
      <c r="W21" s="37">
        <f>3208.03-0.04</f>
        <v>3207.9900000000002</v>
      </c>
    </row>
    <row r="22" spans="1:23" ht="35.25" customHeight="1">
      <c r="A22" s="32">
        <v>1</v>
      </c>
      <c r="B22" s="32" t="s">
        <v>28</v>
      </c>
      <c r="C22" s="103" t="s">
        <v>411</v>
      </c>
      <c r="D22" s="32">
        <v>2007</v>
      </c>
      <c r="E22" s="32"/>
      <c r="F22" s="33">
        <v>1202.9000000000001</v>
      </c>
      <c r="G22" s="32">
        <v>5.98</v>
      </c>
      <c r="H22" s="33">
        <f>'УК 1 кв. 2023г.'!H22-'УК 1 кв. 2023г.'!I22+V22+W22+X22</f>
        <v>143704.15999999997</v>
      </c>
      <c r="I22" s="33">
        <v>14931.36</v>
      </c>
      <c r="J22" s="33">
        <f>'УК 1 кв. 2023г.'!J22+'УК 2 кв. 2023г.'!V22+'УК 2 кв. 2023г.'!W22</f>
        <v>665235.27</v>
      </c>
      <c r="K22" s="33">
        <f>'УК 1 кв. 2023г.'!K22+'УК 2 кв. 2023г.'!I22</f>
        <v>550093.32000000007</v>
      </c>
      <c r="L22" s="32"/>
      <c r="M22" s="32"/>
      <c r="N22" s="33">
        <f>'УК 1 кв. 2023г.'!N22</f>
        <v>0</v>
      </c>
      <c r="O22" s="33">
        <f>K22-N22</f>
        <v>550093.32000000007</v>
      </c>
      <c r="P22" s="120">
        <f>K22/J22*100</f>
        <v>82.691544601957148</v>
      </c>
      <c r="R22" s="19">
        <f t="shared" si="3"/>
        <v>115141.94999999995</v>
      </c>
      <c r="S22" s="19">
        <f t="shared" si="2"/>
        <v>128772.79999999997</v>
      </c>
      <c r="V22" s="37">
        <v>21580.05</v>
      </c>
      <c r="W22" s="37">
        <v>1851.09</v>
      </c>
    </row>
    <row r="23" spans="1:23" ht="35.25" customHeight="1">
      <c r="A23" s="32">
        <v>1</v>
      </c>
      <c r="B23" s="32" t="s">
        <v>28</v>
      </c>
      <c r="C23" s="103" t="s">
        <v>412</v>
      </c>
      <c r="D23" s="32">
        <v>2006</v>
      </c>
      <c r="E23" s="32"/>
      <c r="F23" s="33">
        <v>1201.8</v>
      </c>
      <c r="G23" s="32">
        <v>5.98</v>
      </c>
      <c r="H23" s="33">
        <f>'УК 1 кв. 2023г.'!H23-'УК 1 кв. 2023г.'!I23+V23+W23+X23</f>
        <v>173185.79999999996</v>
      </c>
      <c r="I23" s="33">
        <v>21211.81</v>
      </c>
      <c r="J23" s="33">
        <f>'УК 1 кв. 2023г.'!J23+'УК 2 кв. 2023г.'!V23+'УК 2 кв. 2023г.'!W23</f>
        <v>603482.44000000006</v>
      </c>
      <c r="K23" s="33">
        <f>'УК 1 кв. 2023г.'!K23+'УК 2 кв. 2023г.'!I23</f>
        <v>440813.12999999995</v>
      </c>
      <c r="L23" s="32"/>
      <c r="M23" s="32"/>
      <c r="N23" s="33">
        <f>'УК 1 кв. 2023г.'!N23</f>
        <v>369062</v>
      </c>
      <c r="O23" s="33">
        <f t="shared" si="1"/>
        <v>71751.129999999946</v>
      </c>
      <c r="P23" s="120">
        <f>K23/J23*100</f>
        <v>73.044897544989027</v>
      </c>
      <c r="R23" s="19">
        <f t="shared" si="3"/>
        <v>162669.31000000011</v>
      </c>
      <c r="S23" s="19">
        <f t="shared" si="2"/>
        <v>151973.98999999996</v>
      </c>
      <c r="V23" s="37">
        <v>21560.31</v>
      </c>
      <c r="W23" s="37">
        <v>2769.3</v>
      </c>
    </row>
    <row r="24" spans="1:23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37">
        <f>SUM(V16:V23)</f>
        <v>610491.45000000019</v>
      </c>
      <c r="W24" s="37">
        <f>SUM(W16:W23)</f>
        <v>24313.870000000003</v>
      </c>
    </row>
    <row r="25" spans="1:23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3" s="17" customFormat="1" ht="15.75" hidden="1">
      <c r="A26" s="4"/>
      <c r="C26" s="90" t="s">
        <v>430</v>
      </c>
      <c r="D26" s="90"/>
      <c r="E26" s="90"/>
      <c r="F26" s="90"/>
      <c r="G26" s="90"/>
      <c r="H26" s="90"/>
      <c r="I26" s="90"/>
      <c r="J26" s="90"/>
      <c r="K26" s="90"/>
      <c r="L26" s="4"/>
      <c r="P26" s="62"/>
    </row>
    <row r="27" spans="1:23" s="62" customFormat="1" ht="21.75" customHeight="1">
      <c r="A27" s="111"/>
      <c r="C27" s="15" t="s">
        <v>431</v>
      </c>
      <c r="D27" s="15"/>
      <c r="E27" s="15"/>
      <c r="F27" s="15"/>
      <c r="G27" s="15"/>
      <c r="H27" s="15"/>
      <c r="I27" s="15"/>
      <c r="J27" s="15"/>
      <c r="K27" s="15"/>
    </row>
    <row r="28" spans="1:23" s="17" customFormat="1" ht="15.75" hidden="1">
      <c r="A28" s="4"/>
      <c r="C28" s="13" t="s">
        <v>414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3" s="17" customFormat="1" ht="15.75" hidden="1">
      <c r="A29" s="4"/>
      <c r="C29" s="13" t="s">
        <v>415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3" s="17" customFormat="1" ht="15.75" hidden="1">
      <c r="A30" s="4"/>
      <c r="C30" s="13" t="s">
        <v>416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3" s="17" customFormat="1" ht="15.75" hidden="1">
      <c r="A31" s="4"/>
      <c r="C31" s="13" t="s">
        <v>417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3" s="17" customFormat="1" ht="15.75" hidden="1">
      <c r="A32" s="4"/>
      <c r="C32" s="13" t="s">
        <v>418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 hidden="1">
      <c r="A33" s="4"/>
      <c r="C33" s="13" t="s">
        <v>419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 hidden="1">
      <c r="A34" s="4"/>
      <c r="C34" s="13" t="s">
        <v>420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 hidden="1">
      <c r="A35" s="4"/>
      <c r="C35" s="13" t="s">
        <v>421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15.75" hidden="1">
      <c r="A36" s="4"/>
      <c r="C36" s="13" t="s">
        <v>422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5.75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>
      <c r="A39" s="4" t="s">
        <v>429</v>
      </c>
      <c r="P39" s="62"/>
    </row>
    <row r="40" spans="1:16" s="17" customFormat="1" ht="15.75">
      <c r="A40" s="4" t="s">
        <v>59</v>
      </c>
      <c r="P40" s="62"/>
    </row>
    <row r="41" spans="1:16" s="17" customFormat="1" ht="15.75">
      <c r="A41" s="4"/>
      <c r="P41" s="62"/>
    </row>
    <row r="42" spans="1:16">
      <c r="A42" s="2" t="s">
        <v>48</v>
      </c>
    </row>
  </sheetData>
  <autoFilter ref="A15:W23"/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3"/>
  <sheetViews>
    <sheetView workbookViewId="0">
      <pane xSplit="3" ySplit="14" topLeftCell="E15" activePane="bottomRight" state="frozen"/>
      <selection activeCell="O10" sqref="O10"/>
      <selection pane="topRight" activeCell="O10" sqref="O10"/>
      <selection pane="bottomLeft" activeCell="O10" sqref="O10"/>
      <selection pane="bottomRight" activeCell="O10" sqref="O10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  <col min="28" max="28" width="9.7109375" bestFit="1" customWidth="1"/>
    <col min="30" max="30" width="11.28515625" customWidth="1"/>
  </cols>
  <sheetData>
    <row r="1" spans="1:30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30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30" s="13" customFormat="1" ht="15.75">
      <c r="A3" s="187" t="str">
        <f>' 2 кв. 2025г.'!A4:O4</f>
        <v xml:space="preserve">по состоянию за 2 квартал 2025 года на 01 июля 2025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30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30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30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30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30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30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30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30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30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30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  <c r="AB13" s="38" t="s">
        <v>451</v>
      </c>
    </row>
    <row r="14" spans="1:30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30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4752.7</v>
      </c>
      <c r="G15" s="32">
        <v>7.34</v>
      </c>
      <c r="H15" s="33">
        <f>'ТСЖ 1 кв.2025г.'!H15-'ТСЖ 1 кв.2025г.'!I15+X15+V15+W15</f>
        <v>428499.07600000006</v>
      </c>
      <c r="I15" s="33">
        <f>Z15+AA15+X15+AB15</f>
        <v>90197.849999999991</v>
      </c>
      <c r="J15" s="33">
        <f>'ТСЖ 1 кв.2025г.'!J15+Z15+AA15+X15</f>
        <v>3529348.2000000007</v>
      </c>
      <c r="K15" s="33">
        <f>'ТСЖ 1 кв.2025г.'!K15+'ТСЖ 2 кв.2025г.'!I15</f>
        <v>3250436.6999999997</v>
      </c>
      <c r="L15" s="43"/>
      <c r="M15" s="66"/>
      <c r="N15" s="33">
        <f>'ТСЖ 1 кв.2025г.'!N15</f>
        <v>426357.21</v>
      </c>
      <c r="O15" s="105">
        <f>K15-N15</f>
        <v>2824079.4899999998</v>
      </c>
      <c r="P15" s="74">
        <v>520817.08</v>
      </c>
      <c r="Q15" s="46">
        <f>K15/J15*100</f>
        <v>92.097365173546748</v>
      </c>
      <c r="S15" s="48">
        <f>J15-K15+16536.37</f>
        <v>295447.87000000093</v>
      </c>
      <c r="T15" s="48">
        <f>H15-I15</f>
        <v>338301.22600000008</v>
      </c>
      <c r="V15" s="42">
        <f>104654.49-13702.75</f>
        <v>90951.74</v>
      </c>
      <c r="W15" s="42">
        <f>12602.96-2009.11</f>
        <v>10593.849999999999</v>
      </c>
      <c r="X15" s="48">
        <v>3468.93</v>
      </c>
      <c r="Y15" s="48"/>
      <c r="Z15" s="48">
        <v>86514.4</v>
      </c>
      <c r="AA15" s="48">
        <v>214.52</v>
      </c>
    </row>
    <row r="16" spans="1:30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7.34</v>
      </c>
      <c r="H16" s="33">
        <f>'ТСЖ 1 кв.2025г.'!H16-'ТСЖ 1 кв.2025г.'!I16+X16+V16+W16</f>
        <v>105478.67999999995</v>
      </c>
      <c r="I16" s="33">
        <f t="shared" ref="I16:I29" si="0">Z16+AA16+X16+AB16</f>
        <v>70108.17</v>
      </c>
      <c r="J16" s="33">
        <f>'ТСЖ 1 кв.2025г.'!J16+Z16+AA16+X16</f>
        <v>1458484.0100000002</v>
      </c>
      <c r="K16" s="33">
        <f>'ТСЖ 1 кв.2025г.'!K16+'ТСЖ 2 кв.2025г.'!I16</f>
        <v>1373777.66</v>
      </c>
      <c r="L16" s="43"/>
      <c r="M16" s="66"/>
      <c r="N16" s="33">
        <f>'ТСЖ 1 кв.2025г.'!N16</f>
        <v>221688.82</v>
      </c>
      <c r="O16" s="105">
        <f t="shared" ref="O16:O29" si="1">K16-N16</f>
        <v>1152088.8399999999</v>
      </c>
      <c r="P16" s="78">
        <v>264064.82</v>
      </c>
      <c r="Q16" s="46">
        <f>K16/J16*100</f>
        <v>94.192164643615101</v>
      </c>
      <c r="S16" s="48">
        <f t="shared" ref="S16:S29" si="2">J16-K16+X16</f>
        <v>84706.350000000326</v>
      </c>
      <c r="T16" s="48">
        <f t="shared" ref="T16:T29" si="3">H16-I16</f>
        <v>35370.509999999951</v>
      </c>
      <c r="V16" s="124">
        <v>42031.74</v>
      </c>
      <c r="W16" s="124">
        <v>1667.39</v>
      </c>
      <c r="X16" s="125"/>
      <c r="Y16" s="125"/>
      <c r="Z16" s="124">
        <v>69153.45</v>
      </c>
      <c r="AA16" s="124">
        <v>954.72</v>
      </c>
      <c r="AB16" s="48"/>
      <c r="AC16" s="49">
        <f>F16*G16*3</f>
        <v>42031.775999999998</v>
      </c>
      <c r="AD16" s="48">
        <f>V16-AC16</f>
        <v>-3.6000000000058208E-2</v>
      </c>
    </row>
    <row r="17" spans="1:30" s="49" customFormat="1" ht="33.75" customHeight="1">
      <c r="A17" s="32">
        <v>1</v>
      </c>
      <c r="B17" s="153" t="s">
        <v>28</v>
      </c>
      <c r="C17" s="153" t="s">
        <v>402</v>
      </c>
      <c r="D17" s="153">
        <v>2002</v>
      </c>
      <c r="E17" s="153"/>
      <c r="F17" s="156">
        <v>1947.3</v>
      </c>
      <c r="G17" s="32">
        <v>7.34</v>
      </c>
      <c r="H17" s="33">
        <f>'ТСЖ 1 кв.2025г.'!H17-'ТСЖ 1 кв.2025г.'!I17+X17+V17+W17</f>
        <v>230766.32000000018</v>
      </c>
      <c r="I17" s="33">
        <f t="shared" si="0"/>
        <v>33658.879999999997</v>
      </c>
      <c r="J17" s="33">
        <f>'ТСЖ 1 кв.2025г.'!J17+Z17+AA17+X17</f>
        <v>1399311.3699999987</v>
      </c>
      <c r="K17" s="33">
        <f>'ТСЖ 1 кв.2025г.'!K17+'ТСЖ 2 кв.2025г.'!I17</f>
        <v>1255778.43</v>
      </c>
      <c r="L17" s="43"/>
      <c r="M17" s="66"/>
      <c r="N17" s="33">
        <f>'ТСЖ 1 кв.2025г.'!N17</f>
        <v>476040</v>
      </c>
      <c r="O17" s="105">
        <f t="shared" si="1"/>
        <v>779738.42999999993</v>
      </c>
      <c r="P17" s="74">
        <v>253163.82</v>
      </c>
      <c r="Q17" s="157">
        <f>K17/J17*100</f>
        <v>89.742601748458682</v>
      </c>
      <c r="S17" s="48">
        <f t="shared" si="2"/>
        <v>143532.93999999878</v>
      </c>
      <c r="T17" s="48">
        <f t="shared" si="3"/>
        <v>197107.44000000018</v>
      </c>
      <c r="V17" s="124">
        <v>42879.54</v>
      </c>
      <c r="W17" s="124">
        <v>6991.26</v>
      </c>
      <c r="X17" s="125"/>
      <c r="Y17" s="125"/>
      <c r="Z17" s="124">
        <v>33361.629999999997</v>
      </c>
      <c r="AA17" s="124">
        <v>297.25</v>
      </c>
      <c r="AB17" s="48"/>
      <c r="AC17" s="49">
        <f t="shared" ref="AC17:AC29" si="4">F17*G17*3</f>
        <v>42879.545999999995</v>
      </c>
      <c r="AD17" s="48">
        <f t="shared" ref="AD17:AD29" si="5">V17-AC17</f>
        <v>-5.9999999939464033E-3</v>
      </c>
    </row>
    <row r="18" spans="1:30" s="49" customFormat="1" ht="63.75" customHeight="1" thickBot="1">
      <c r="A18" s="32">
        <v>1</v>
      </c>
      <c r="B18" s="153" t="s">
        <v>28</v>
      </c>
      <c r="C18" s="153" t="s">
        <v>403</v>
      </c>
      <c r="D18" s="153">
        <v>2003</v>
      </c>
      <c r="E18" s="153"/>
      <c r="F18" s="156">
        <v>2990</v>
      </c>
      <c r="G18" s="32">
        <v>7.34</v>
      </c>
      <c r="H18" s="33">
        <f>'ТСЖ 1 кв.2025г.'!H18-'ТСЖ 1 кв.2025г.'!I18+X18+V18+W18</f>
        <v>299083.43000000005</v>
      </c>
      <c r="I18" s="33">
        <f t="shared" si="0"/>
        <v>54075.360000000008</v>
      </c>
      <c r="J18" s="33">
        <f>'ТСЖ 1 кв.2025г.'!J18+Z18+AA18+X18</f>
        <v>2144351.7299999991</v>
      </c>
      <c r="K18" s="33">
        <f>'ТСЖ 1 кв.2025г.'!K18+'ТСЖ 2 кв.2025г.'!I18</f>
        <v>1994625.31</v>
      </c>
      <c r="L18" s="43"/>
      <c r="M18" s="66"/>
      <c r="N18" s="33">
        <f>'ТСЖ 1 кв.2025г.'!N18</f>
        <v>731630</v>
      </c>
      <c r="O18" s="105">
        <f t="shared" si="1"/>
        <v>1262995.31</v>
      </c>
      <c r="P18" s="44">
        <v>378042.71</v>
      </c>
      <c r="Q18" s="157">
        <f t="shared" ref="Q18:Q28" si="6">K18/J18*100</f>
        <v>93.0176370832597</v>
      </c>
      <c r="S18" s="48">
        <f t="shared" si="2"/>
        <v>151266.53999999899</v>
      </c>
      <c r="T18" s="48">
        <f t="shared" si="3"/>
        <v>245008.07000000004</v>
      </c>
      <c r="V18" s="124">
        <v>65839.679999999993</v>
      </c>
      <c r="W18" s="124">
        <v>8750.14</v>
      </c>
      <c r="X18" s="125">
        <v>1540.12</v>
      </c>
      <c r="Y18" s="125"/>
      <c r="Z18" s="124">
        <v>52485.69</v>
      </c>
      <c r="AA18" s="124">
        <v>49.55</v>
      </c>
      <c r="AB18" s="48"/>
      <c r="AC18" s="49">
        <f t="shared" si="4"/>
        <v>65839.799999999988</v>
      </c>
      <c r="AD18" s="48">
        <f t="shared" si="5"/>
        <v>-0.11999999999534339</v>
      </c>
    </row>
    <row r="19" spans="1:30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7.34</v>
      </c>
      <c r="H19" s="33">
        <f>'ТСЖ 1 кв.2025г.'!H19-'ТСЖ 1 кв.2025г.'!I19+X19+V19+W19</f>
        <v>93136.130000000034</v>
      </c>
      <c r="I19" s="33">
        <f t="shared" si="0"/>
        <v>39027.730000000003</v>
      </c>
      <c r="J19" s="33">
        <f>'ТСЖ 1 кв.2025г.'!J19+Z19+AA19+X19</f>
        <v>1341649.8200000003</v>
      </c>
      <c r="K19" s="33">
        <f>'ТСЖ 1 кв.2025г.'!K19+'ТСЖ 2 кв.2025г.'!I19</f>
        <v>1199915.0900000001</v>
      </c>
      <c r="L19" s="43"/>
      <c r="M19" s="66"/>
      <c r="N19" s="33">
        <f>'ТСЖ 1 кв.2025г.'!N19</f>
        <v>230810</v>
      </c>
      <c r="O19" s="105">
        <f>K19-N19</f>
        <v>969105.09000000008</v>
      </c>
      <c r="P19" s="44">
        <v>252978.03</v>
      </c>
      <c r="Q19" s="46">
        <f>K19/J19*100</f>
        <v>89.435788095585167</v>
      </c>
      <c r="S19" s="93">
        <f t="shared" si="2"/>
        <v>141734.73000000021</v>
      </c>
      <c r="T19" s="93">
        <f t="shared" si="3"/>
        <v>54108.400000000031</v>
      </c>
      <c r="V19" s="124">
        <v>37403.19</v>
      </c>
      <c r="W19" s="124">
        <v>1618.57</v>
      </c>
      <c r="X19" s="126"/>
      <c r="Y19" s="126"/>
      <c r="Z19" s="124">
        <v>38953.4</v>
      </c>
      <c r="AA19" s="124">
        <v>74.33</v>
      </c>
      <c r="AB19" s="48"/>
      <c r="AC19" s="49">
        <f t="shared" si="4"/>
        <v>37403.171999999991</v>
      </c>
      <c r="AD19" s="48">
        <f t="shared" si="5"/>
        <v>1.800000001094304E-2</v>
      </c>
    </row>
    <row r="20" spans="1:30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7.34</v>
      </c>
      <c r="H20" s="33">
        <f>'ТСЖ 1 кв.2025г.'!H20-'ТСЖ 1 кв.2025г.'!I20+X20+V20+W20</f>
        <v>124050.27999999998</v>
      </c>
      <c r="I20" s="33">
        <f t="shared" si="0"/>
        <v>21942.2</v>
      </c>
      <c r="J20" s="33">
        <f>'ТСЖ 1 кв.2025г.'!J20+Z20+AA20+X20</f>
        <v>818954.0199999999</v>
      </c>
      <c r="K20" s="33">
        <f>'ТСЖ 1 кв.2025г.'!K20+'ТСЖ 2 кв.2025г.'!I20</f>
        <v>781948.56999999983</v>
      </c>
      <c r="L20" s="43"/>
      <c r="M20" s="66"/>
      <c r="N20" s="33">
        <f>'ТСЖ 1 кв.2025г.'!N20</f>
        <v>208003.99</v>
      </c>
      <c r="O20" s="105">
        <f t="shared" si="1"/>
        <v>573944.57999999984</v>
      </c>
      <c r="P20" s="74">
        <v>124839.69</v>
      </c>
      <c r="Q20" s="46">
        <f t="shared" si="6"/>
        <v>95.481376353705414</v>
      </c>
      <c r="S20" s="93">
        <f t="shared" si="2"/>
        <v>37005.45000000007</v>
      </c>
      <c r="T20" s="93">
        <f t="shared" si="3"/>
        <v>102108.07999999999</v>
      </c>
      <c r="V20" s="124">
        <v>26181.81</v>
      </c>
      <c r="W20" s="124">
        <v>3854.22</v>
      </c>
      <c r="X20" s="126"/>
      <c r="Y20" s="126"/>
      <c r="Z20" s="124">
        <v>21942.09</v>
      </c>
      <c r="AA20" s="124">
        <v>0.11</v>
      </c>
      <c r="AB20" s="48"/>
      <c r="AC20" s="49">
        <f t="shared" si="4"/>
        <v>26181.78</v>
      </c>
      <c r="AD20" s="48">
        <f t="shared" si="5"/>
        <v>3.0000000002473826E-2</v>
      </c>
    </row>
    <row r="21" spans="1:30" s="92" customFormat="1" ht="52.5" customHeight="1" thickBot="1">
      <c r="A21" s="32">
        <v>1</v>
      </c>
      <c r="B21" s="153" t="s">
        <v>28</v>
      </c>
      <c r="C21" s="153" t="s">
        <v>391</v>
      </c>
      <c r="D21" s="153">
        <v>2012</v>
      </c>
      <c r="E21" s="153"/>
      <c r="F21" s="156">
        <v>2427.8000000000002</v>
      </c>
      <c r="G21" s="32">
        <v>7.34</v>
      </c>
      <c r="H21" s="33">
        <f>'ТСЖ 1 кв.2025г.'!H21-'ТСЖ 1 кв.2025г.'!I21+X21+V21+W21</f>
        <v>218067.16</v>
      </c>
      <c r="I21" s="33">
        <f t="shared" si="0"/>
        <v>48604.68</v>
      </c>
      <c r="J21" s="33">
        <f>'ТСЖ 1 кв.2025г.'!J21+Z21+AA21+X21</f>
        <v>1723910.91</v>
      </c>
      <c r="K21" s="33">
        <f>'ТСЖ 1 кв.2025г.'!K21+'ТСЖ 2 кв.2025г.'!I21</f>
        <v>1623974.17</v>
      </c>
      <c r="L21" s="43"/>
      <c r="M21" s="66"/>
      <c r="N21" s="33">
        <f>'ТСЖ 1 кв.2025г.'!N21</f>
        <v>0</v>
      </c>
      <c r="O21" s="105">
        <f t="shared" si="1"/>
        <v>1623974.17</v>
      </c>
      <c r="P21" s="44">
        <v>388089.32</v>
      </c>
      <c r="Q21" s="157">
        <f t="shared" si="6"/>
        <v>94.202905763848321</v>
      </c>
      <c r="S21" s="93">
        <f t="shared" si="2"/>
        <v>99936.739999999991</v>
      </c>
      <c r="T21" s="93">
        <f t="shared" si="3"/>
        <v>169462.48</v>
      </c>
      <c r="V21" s="124">
        <v>53460.21</v>
      </c>
      <c r="W21" s="124">
        <v>5865.64</v>
      </c>
      <c r="X21" s="126"/>
      <c r="Y21" s="126"/>
      <c r="Z21" s="124">
        <v>48431.06</v>
      </c>
      <c r="AA21" s="124">
        <v>173.62</v>
      </c>
      <c r="AB21" s="48"/>
      <c r="AC21" s="49">
        <f t="shared" si="4"/>
        <v>53460.156000000003</v>
      </c>
      <c r="AD21" s="48">
        <f t="shared" si="5"/>
        <v>5.3999999996449333E-2</v>
      </c>
    </row>
    <row r="22" spans="1:30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7.34</v>
      </c>
      <c r="H22" s="33">
        <f>'ТСЖ 1 кв.2025г.'!H22-'ТСЖ 1 кв.2025г.'!I22+X22+V22+W22</f>
        <v>85784.870000000054</v>
      </c>
      <c r="I22" s="33">
        <f t="shared" si="0"/>
        <v>41324.800000000003</v>
      </c>
      <c r="J22" s="33">
        <f>'ТСЖ 1 кв.2025г.'!J22+Z22+AA22+X22</f>
        <v>1550067.3200000003</v>
      </c>
      <c r="K22" s="33">
        <f>'ТСЖ 1 кв.2025г.'!K22+'ТСЖ 2 кв.2025г.'!I22</f>
        <v>1488220.3</v>
      </c>
      <c r="L22" s="43"/>
      <c r="M22" s="66"/>
      <c r="N22" s="33">
        <f>'ТСЖ 1 кв.2025г.'!N22</f>
        <v>454457.47</v>
      </c>
      <c r="O22" s="105">
        <f t="shared" si="1"/>
        <v>1033762.8300000001</v>
      </c>
      <c r="P22" s="74">
        <v>223464.31</v>
      </c>
      <c r="Q22" s="46">
        <f>K22/J22*100</f>
        <v>96.010042970262717</v>
      </c>
      <c r="S22" s="93">
        <f t="shared" si="2"/>
        <v>62688.910000000251</v>
      </c>
      <c r="T22" s="93">
        <f t="shared" si="3"/>
        <v>44460.070000000051</v>
      </c>
      <c r="V22" s="124">
        <v>45755.28</v>
      </c>
      <c r="W22" s="124">
        <v>1070.9100000000001</v>
      </c>
      <c r="X22" s="126">
        <v>841.89</v>
      </c>
      <c r="Y22" s="126"/>
      <c r="Z22" s="124">
        <v>40282.36</v>
      </c>
      <c r="AA22" s="124">
        <v>200.55</v>
      </c>
      <c r="AB22" s="48"/>
      <c r="AC22" s="49">
        <f t="shared" si="4"/>
        <v>45755.358</v>
      </c>
      <c r="AD22" s="48">
        <f t="shared" si="5"/>
        <v>-7.8000000001338776E-2</v>
      </c>
    </row>
    <row r="23" spans="1:30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7.34</v>
      </c>
      <c r="H23" s="33">
        <f>'ТСЖ 1 кв.2025г.'!H23-'ТСЖ 1 кв.2025г.'!I23+X23+V23+W23</f>
        <v>62750.77</v>
      </c>
      <c r="I23" s="33">
        <f t="shared" si="0"/>
        <v>45563.11</v>
      </c>
      <c r="J23" s="33">
        <f>'ТСЖ 1 кв.2025г.'!J23+Z23+AA23+X23</f>
        <v>1509201.8699999994</v>
      </c>
      <c r="K23" s="33">
        <f>'ТСЖ 1 кв.2025г.'!K23+'ТСЖ 2 кв.2025г.'!I23</f>
        <v>1505731.4100000001</v>
      </c>
      <c r="L23" s="43"/>
      <c r="M23" s="66"/>
      <c r="N23" s="33">
        <f>'ТСЖ 1 кв.2025г.'!N23</f>
        <v>435700.47000000003</v>
      </c>
      <c r="O23" s="105">
        <f t="shared" si="1"/>
        <v>1070030.9400000002</v>
      </c>
      <c r="P23" s="78">
        <v>243907.98</v>
      </c>
      <c r="Q23" s="46">
        <f t="shared" si="6"/>
        <v>99.770046667116887</v>
      </c>
      <c r="S23" s="93">
        <f t="shared" si="2"/>
        <v>3470.4599999992643</v>
      </c>
      <c r="T23" s="93">
        <f t="shared" si="3"/>
        <v>17187.659999999996</v>
      </c>
      <c r="V23" s="124">
        <v>45944.76</v>
      </c>
      <c r="W23" s="124">
        <v>278.67</v>
      </c>
      <c r="X23" s="126"/>
      <c r="Y23" s="126"/>
      <c r="Z23" s="124">
        <v>45534.1</v>
      </c>
      <c r="AA23" s="124">
        <v>29.01</v>
      </c>
      <c r="AB23" s="48"/>
      <c r="AC23" s="49">
        <f t="shared" si="4"/>
        <v>45944.729999999996</v>
      </c>
      <c r="AD23" s="48">
        <f t="shared" si="5"/>
        <v>3.0000000006111804E-2</v>
      </c>
    </row>
    <row r="24" spans="1:30" s="92" customFormat="1" ht="30.75" thickBot="1">
      <c r="A24" s="32">
        <v>1</v>
      </c>
      <c r="B24" s="153" t="s">
        <v>28</v>
      </c>
      <c r="C24" s="153" t="s">
        <v>394</v>
      </c>
      <c r="D24" s="153">
        <v>1996</v>
      </c>
      <c r="E24" s="153"/>
      <c r="F24" s="156">
        <v>2824.4</v>
      </c>
      <c r="G24" s="32">
        <v>7.34</v>
      </c>
      <c r="H24" s="33">
        <f>'ТСЖ 1 кв.2025г.'!H24-'ТСЖ 1 кв.2025г.'!I24+X24+V24+W24</f>
        <v>241881.12999999998</v>
      </c>
      <c r="I24" s="33">
        <f t="shared" si="0"/>
        <v>53903.16</v>
      </c>
      <c r="J24" s="33">
        <f>'ТСЖ 1 кв.2025г.'!J24+Z24+AA24+X24</f>
        <v>2160511.9200000009</v>
      </c>
      <c r="K24" s="33">
        <f>'ТСЖ 1 кв.2025г.'!K24+'ТСЖ 2 кв.2025г.'!I24</f>
        <v>1950087.86</v>
      </c>
      <c r="L24" s="43"/>
      <c r="M24" s="66"/>
      <c r="N24" s="33">
        <f>'ТСЖ 1 кв.2025г.'!N24</f>
        <v>124391</v>
      </c>
      <c r="O24" s="105">
        <f t="shared" si="1"/>
        <v>1825696.86</v>
      </c>
      <c r="P24" s="44">
        <v>420551</v>
      </c>
      <c r="Q24" s="157">
        <f>K24/J24*100</f>
        <v>90.260453642856987</v>
      </c>
      <c r="S24" s="93">
        <f>J24-K24+3064.16</f>
        <v>213488.22000000076</v>
      </c>
      <c r="T24" s="93">
        <f t="shared" si="3"/>
        <v>187977.96999999997</v>
      </c>
      <c r="U24" s="128">
        <v>1771.81</v>
      </c>
      <c r="V24" s="124">
        <v>62193.3</v>
      </c>
      <c r="W24" s="124">
        <v>6430.83</v>
      </c>
      <c r="X24" s="126">
        <v>2242.15</v>
      </c>
      <c r="Y24" s="126"/>
      <c r="Z24" s="124">
        <v>51572.22</v>
      </c>
      <c r="AA24" s="124">
        <v>88.79</v>
      </c>
      <c r="AB24" s="48"/>
      <c r="AC24" s="49">
        <f t="shared" si="4"/>
        <v>62193.288</v>
      </c>
      <c r="AD24" s="48">
        <f t="shared" si="5"/>
        <v>1.2000000002444722E-2</v>
      </c>
    </row>
    <row r="25" spans="1:30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7.34</v>
      </c>
      <c r="H25" s="33">
        <f>'ТСЖ 1 кв.2025г.'!H25-'ТСЖ 1 кв.2025г.'!I25+X25+V25+W25</f>
        <v>61563.979999999996</v>
      </c>
      <c r="I25" s="33">
        <f t="shared" si="0"/>
        <v>21416.27</v>
      </c>
      <c r="J25" s="33">
        <f>'ТСЖ 1 кв.2025г.'!J25+Z25+AA25+X25</f>
        <v>831313.70000000007</v>
      </c>
      <c r="K25" s="33">
        <f>'ТСЖ 1 кв.2025г.'!K25+'ТСЖ 2 кв.2025г.'!I25</f>
        <v>796372.8400000002</v>
      </c>
      <c r="L25" s="43"/>
      <c r="M25" s="66"/>
      <c r="N25" s="33">
        <f>'ТСЖ 1 кв.2025г.'!N25</f>
        <v>248930</v>
      </c>
      <c r="O25" s="105">
        <f t="shared" si="1"/>
        <v>547442.8400000002</v>
      </c>
      <c r="P25" s="44">
        <v>146097.04999999999</v>
      </c>
      <c r="Q25" s="46">
        <f t="shared" si="6"/>
        <v>95.796910360072275</v>
      </c>
      <c r="S25" s="93">
        <f t="shared" si="2"/>
        <v>34940.85999999987</v>
      </c>
      <c r="T25" s="93">
        <f t="shared" si="3"/>
        <v>40147.709999999992</v>
      </c>
      <c r="U25" s="93"/>
      <c r="V25" s="124">
        <v>24992.73</v>
      </c>
      <c r="W25" s="124">
        <v>992.31</v>
      </c>
      <c r="X25" s="126"/>
      <c r="Y25" s="126"/>
      <c r="Z25" s="124">
        <v>21379.13</v>
      </c>
      <c r="AA25" s="124">
        <v>37.14</v>
      </c>
      <c r="AB25" s="48"/>
      <c r="AC25" s="49">
        <f t="shared" si="4"/>
        <v>24992.699999999997</v>
      </c>
      <c r="AD25" s="48">
        <f t="shared" si="5"/>
        <v>3.0000000002473826E-2</v>
      </c>
    </row>
    <row r="26" spans="1:30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7.34</v>
      </c>
      <c r="H26" s="33">
        <f>'ТСЖ 1 кв.2025г.'!H26-'ТСЖ 1 кв.2025г.'!I26+X26+V26+W26</f>
        <v>256171.25999999983</v>
      </c>
      <c r="I26" s="33">
        <f t="shared" si="0"/>
        <v>44147.039999999994</v>
      </c>
      <c r="J26" s="33">
        <f>'ТСЖ 1 кв.2025г.'!J26+Z26+AA26+X26</f>
        <v>1526998.8800000001</v>
      </c>
      <c r="K26" s="33">
        <f>'ТСЖ 1 кв.2025г.'!K26+'ТСЖ 2 кв.2025г.'!I26</f>
        <v>1383768.02</v>
      </c>
      <c r="L26" s="43"/>
      <c r="M26" s="66"/>
      <c r="N26" s="33">
        <f>'ТСЖ 1 кв.2025г.'!N26</f>
        <v>532320</v>
      </c>
      <c r="O26" s="105">
        <f t="shared" si="1"/>
        <v>851448.02</v>
      </c>
      <c r="P26" s="44">
        <v>235115.53</v>
      </c>
      <c r="Q26" s="46">
        <f>K26/J26*100</f>
        <v>90.620107069102744</v>
      </c>
      <c r="S26" s="93">
        <f t="shared" si="2"/>
        <v>143230.8600000001</v>
      </c>
      <c r="T26" s="93">
        <f t="shared" si="3"/>
        <v>212024.21999999986</v>
      </c>
      <c r="V26" s="124">
        <v>46666.92</v>
      </c>
      <c r="W26" s="124">
        <v>7575.32</v>
      </c>
      <c r="X26" s="126"/>
      <c r="Y26" s="126"/>
      <c r="Z26" s="124">
        <v>43759.34</v>
      </c>
      <c r="AA26" s="124">
        <v>387.7</v>
      </c>
      <c r="AB26" s="48"/>
      <c r="AC26" s="49">
        <f t="shared" si="4"/>
        <v>46666.986000000004</v>
      </c>
      <c r="AD26" s="48">
        <f t="shared" si="5"/>
        <v>-6.6000000006170012E-2</v>
      </c>
    </row>
    <row r="27" spans="1:30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7.34</v>
      </c>
      <c r="H27" s="33">
        <f>'ТСЖ 1 кв.2025г.'!H27-'ТСЖ 1 кв.2025г.'!I27+X27+V27+W27</f>
        <v>230415.87999999998</v>
      </c>
      <c r="I27" s="33">
        <f t="shared" si="0"/>
        <v>37693.61</v>
      </c>
      <c r="J27" s="33">
        <f>'ТСЖ 1 кв.2025г.'!J27+Z27+AA27+X27</f>
        <v>1508192.42</v>
      </c>
      <c r="K27" s="33">
        <f>'ТСЖ 1 кв.2025г.'!K27+'ТСЖ 2 кв.2025г.'!I27</f>
        <v>1375849.6100000003</v>
      </c>
      <c r="L27" s="43"/>
      <c r="M27" s="66"/>
      <c r="N27" s="33">
        <f>'ТСЖ 1 кв.2025г.'!N27</f>
        <v>475020</v>
      </c>
      <c r="O27" s="105">
        <f t="shared" si="1"/>
        <v>900829.61000000034</v>
      </c>
      <c r="P27" s="44">
        <v>287247.24</v>
      </c>
      <c r="Q27" s="46">
        <f>K27/J27*100</f>
        <v>91.225071267763056</v>
      </c>
      <c r="S27" s="93">
        <f t="shared" si="2"/>
        <v>132342.80999999959</v>
      </c>
      <c r="T27" s="93">
        <f t="shared" si="3"/>
        <v>192722.26999999996</v>
      </c>
      <c r="V27" s="124">
        <v>46120.89</v>
      </c>
      <c r="W27" s="124">
        <v>6904.09</v>
      </c>
      <c r="X27" s="126"/>
      <c r="Y27" s="126"/>
      <c r="Z27" s="124">
        <v>37682.400000000001</v>
      </c>
      <c r="AA27" s="124">
        <v>11.21</v>
      </c>
      <c r="AB27" s="48"/>
      <c r="AC27" s="49">
        <f t="shared" si="4"/>
        <v>46120.89</v>
      </c>
      <c r="AD27" s="48">
        <f t="shared" si="5"/>
        <v>0</v>
      </c>
    </row>
    <row r="28" spans="1:30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7.34</v>
      </c>
      <c r="H28" s="33">
        <f>'ТСЖ 1 кв.2025г.'!H28-'ТСЖ 1 кв.2025г.'!I28+X28+V28+W28</f>
        <v>152824.31000000003</v>
      </c>
      <c r="I28" s="33">
        <f t="shared" si="0"/>
        <v>54597.049999999996</v>
      </c>
      <c r="J28" s="33">
        <f>'ТСЖ 1 кв.2025г.'!J28+Z28+AA28+X28</f>
        <v>2395833.71</v>
      </c>
      <c r="K28" s="33">
        <f>'ТСЖ 1 кв.2025г.'!K28+'ТСЖ 2 кв.2025г.'!I28</f>
        <v>2277074.3999999994</v>
      </c>
      <c r="L28" s="43"/>
      <c r="M28" s="66"/>
      <c r="N28" s="33">
        <f>'ТСЖ 1 кв.2025г.'!N28</f>
        <v>774822</v>
      </c>
      <c r="O28" s="105">
        <f t="shared" si="1"/>
        <v>1502252.3999999994</v>
      </c>
      <c r="P28" s="44">
        <v>354498.41</v>
      </c>
      <c r="Q28" s="46">
        <f t="shared" si="6"/>
        <v>95.043090448877592</v>
      </c>
      <c r="S28" s="93">
        <f t="shared" si="2"/>
        <v>120597.16000000053</v>
      </c>
      <c r="T28" s="93">
        <f t="shared" si="3"/>
        <v>98227.260000000038</v>
      </c>
      <c r="U28" s="127">
        <v>1296.3699999999999</v>
      </c>
      <c r="V28" s="124">
        <v>71027.759999999995</v>
      </c>
      <c r="W28" s="124">
        <v>4607.66</v>
      </c>
      <c r="X28" s="126">
        <v>1837.85</v>
      </c>
      <c r="Y28" s="126"/>
      <c r="Z28" s="124">
        <v>51285.57</v>
      </c>
      <c r="AA28" s="124">
        <v>1473.63</v>
      </c>
      <c r="AB28" s="48"/>
      <c r="AC28" s="49">
        <f t="shared" si="4"/>
        <v>71027.712</v>
      </c>
      <c r="AD28" s="48">
        <f t="shared" si="5"/>
        <v>4.7999999995226972E-2</v>
      </c>
    </row>
    <row r="29" spans="1:30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7.34</v>
      </c>
      <c r="H29" s="33">
        <f>'ТСЖ 1 кв.2025г.'!H29-'ТСЖ 1 кв.2025г.'!I29+X29+V29+W29</f>
        <v>209350.24999999991</v>
      </c>
      <c r="I29" s="33">
        <f t="shared" si="0"/>
        <v>35829.68</v>
      </c>
      <c r="J29" s="33">
        <f>'ТСЖ 1 кв.2025г.'!J29+Z29+AA29+X29</f>
        <v>1543503.0599999994</v>
      </c>
      <c r="K29" s="33">
        <f>'ТСЖ 1 кв.2025г.'!K29+'ТСЖ 2 кв.2025г.'!I29</f>
        <v>1418008.2</v>
      </c>
      <c r="L29" s="43"/>
      <c r="M29" s="66"/>
      <c r="N29" s="33">
        <f>'ТСЖ 1 кв.2025г.'!N29</f>
        <v>721587</v>
      </c>
      <c r="O29" s="105">
        <f t="shared" si="1"/>
        <v>696421.2</v>
      </c>
      <c r="P29" s="44">
        <v>309141.18</v>
      </c>
      <c r="Q29" s="46">
        <f>K29/J29*100</f>
        <v>91.869477732036415</v>
      </c>
      <c r="S29" s="48">
        <f t="shared" si="2"/>
        <v>125494.8599999994</v>
      </c>
      <c r="T29" s="48">
        <f t="shared" si="3"/>
        <v>173520.56999999992</v>
      </c>
      <c r="V29" s="124">
        <v>47023.71</v>
      </c>
      <c r="W29" s="124">
        <v>6109.65</v>
      </c>
      <c r="X29" s="125"/>
      <c r="Y29" s="125"/>
      <c r="Z29" s="124">
        <v>35819.1</v>
      </c>
      <c r="AA29" s="124">
        <v>10.58</v>
      </c>
      <c r="AB29" s="48"/>
      <c r="AC29" s="49">
        <f t="shared" si="4"/>
        <v>47023.71</v>
      </c>
      <c r="AD29" s="48">
        <f t="shared" si="5"/>
        <v>0</v>
      </c>
    </row>
    <row r="30" spans="1:30" ht="12.75" customHeight="1">
      <c r="A30" s="2"/>
      <c r="O30" s="137">
        <f>SUM(O15:O29)</f>
        <v>17613810.609999996</v>
      </c>
      <c r="S30" s="3">
        <f>SUM(S15:S29)</f>
        <v>1789884.7599999991</v>
      </c>
      <c r="V30" s="3"/>
      <c r="W30" s="3"/>
      <c r="Z30" s="3">
        <f>SUM(Z15:Z29)</f>
        <v>678155.94</v>
      </c>
      <c r="AA30" s="3">
        <f>SUM(AA15:AA29)</f>
        <v>4002.7099999999996</v>
      </c>
    </row>
    <row r="31" spans="1:30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SUBTOTAL(9,V29,V28,V27,V26,V25,V24,V23,V22,V21,V20,V19,V18,V17,V16,V15)</f>
        <v>748473.26</v>
      </c>
      <c r="W31" s="3">
        <f>SUBTOTAL(9,W29,W28,W27,W26,W25,W24,W23,W22,W21,W20,W19,W18,W17,W16,W15)</f>
        <v>73310.510000000009</v>
      </c>
      <c r="X31" s="3"/>
    </row>
    <row r="32" spans="1:30" ht="18.75" customHeight="1">
      <c r="A32" s="2"/>
      <c r="B32" s="107" t="s">
        <v>164</v>
      </c>
      <c r="C32" s="182" t="s">
        <v>501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t="15.75">
      <c r="A33" s="2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spans="1:27" s="27" customFormat="1" ht="15.75">
      <c r="A34" s="123" t="str">
        <f>' 2 кв. 2025г.'!A43</f>
        <v>02 июля 2025г.</v>
      </c>
      <c r="I34" s="28"/>
      <c r="Z34" s="28"/>
      <c r="AA34" s="28"/>
    </row>
    <row r="35" spans="1:27" s="27" customFormat="1" ht="15.75">
      <c r="A35" s="4"/>
      <c r="I35" s="28"/>
      <c r="Z35" s="28"/>
      <c r="AA35" s="28"/>
    </row>
    <row r="36" spans="1:27" s="27" customFormat="1" ht="15.75">
      <c r="A36" s="4"/>
      <c r="I36" s="28"/>
      <c r="Z36" s="28"/>
      <c r="AA36" s="28"/>
    </row>
    <row r="37" spans="1:27" s="27" customFormat="1" ht="15.75">
      <c r="A37" s="4" t="s">
        <v>47</v>
      </c>
      <c r="I37" s="28"/>
      <c r="Z37" s="28"/>
      <c r="AA37" s="28"/>
    </row>
    <row r="38" spans="1:27" s="27" customFormat="1" ht="15.75">
      <c r="A38" s="30" t="s">
        <v>48</v>
      </c>
      <c r="I38" s="28"/>
      <c r="Z38" s="28"/>
      <c r="AA38" s="28"/>
    </row>
    <row r="39" spans="1:27">
      <c r="A39" s="1"/>
    </row>
    <row r="40" spans="1:27">
      <c r="A40" s="1"/>
      <c r="K40" s="3"/>
    </row>
    <row r="41" spans="1:27">
      <c r="A41" s="1"/>
    </row>
    <row r="42" spans="1:27">
      <c r="A42" s="1"/>
    </row>
    <row r="43" spans="1:27">
      <c r="A43" s="1"/>
    </row>
    <row r="44" spans="1:27">
      <c r="A44" s="1"/>
    </row>
    <row r="45" spans="1:27">
      <c r="A45" s="1"/>
    </row>
    <row r="46" spans="1:27">
      <c r="A46" s="1"/>
    </row>
    <row r="47" spans="1:27">
      <c r="A47" s="1"/>
    </row>
    <row r="48" spans="1:27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autoFilter ref="A13:AA32">
    <filterColumn colId="2"/>
  </autoFilter>
  <mergeCells count="25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C32:O32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4"/>
  <sheetViews>
    <sheetView topLeftCell="A19" workbookViewId="0">
      <selection activeCell="O22" sqref="O22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11.42578125" style="3" bestFit="1" customWidth="1"/>
    <col min="26" max="26" width="9.28515625" style="3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Y1" s="26"/>
      <c r="Z1" s="26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Y2" s="26"/>
      <c r="Z2" s="26"/>
    </row>
    <row r="3" spans="1:26" s="13" customFormat="1" ht="15.75">
      <c r="A3" s="187" t="str">
        <f>'УК 1 кв. 2023г.'!A4:O4</f>
        <v xml:space="preserve">по состоянию за 1 квартал 2023 года на 01 апреля 2023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Y3" s="37"/>
      <c r="Z3" s="37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Y4" s="37"/>
      <c r="Z4" s="37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Y5" s="37"/>
      <c r="Z5" s="37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Y6" s="37"/>
      <c r="Z6" s="37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Y7" s="37"/>
      <c r="Z7" s="37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Y8" s="37"/>
      <c r="Z8" s="37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Y9" s="37"/>
      <c r="Z9" s="37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Y10" s="37"/>
      <c r="Z10" s="37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Y11" s="39"/>
      <c r="Z11" s="39"/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Y12" s="39"/>
      <c r="Z12" s="39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230</v>
      </c>
      <c r="Y13" s="39" t="s">
        <v>388</v>
      </c>
      <c r="Z13" s="39" t="s">
        <v>427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Y14" s="55"/>
      <c r="Z14" s="55"/>
    </row>
    <row r="15" spans="1:26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4750.7</v>
      </c>
      <c r="G15" s="32">
        <v>5.98</v>
      </c>
      <c r="H15" s="33">
        <f>'ТСЖ 4 кв.2022г.'!H15-'ТСЖ 4 кв.2022г.'!I15+W15+V15</f>
        <v>430813.77000000014</v>
      </c>
      <c r="I15" s="33">
        <f>Y15+W15+Z15</f>
        <v>66457.42</v>
      </c>
      <c r="J15" s="33">
        <f>'ТСЖ 4 кв.2022г.'!J15+Y15+Z15+W15</f>
        <v>2601641.1900000009</v>
      </c>
      <c r="K15" s="33">
        <f>'ТСЖ 4 кв.2022г.'!K15+'ТСЖ 1 кв.2023г.'!I15</f>
        <v>2299531.2499999995</v>
      </c>
      <c r="L15" s="43"/>
      <c r="M15" s="66"/>
      <c r="N15" s="33">
        <f>'ТСЖ 3 кв.2022г.'!N15</f>
        <v>426357.21</v>
      </c>
      <c r="O15" s="105">
        <f>K15-N15</f>
        <v>1873174.0399999996</v>
      </c>
      <c r="P15" s="74">
        <v>520817.08</v>
      </c>
      <c r="Q15" s="46">
        <f>K15/J15*100</f>
        <v>88.387716908802432</v>
      </c>
      <c r="S15" s="48">
        <f>J15-K15+16536.37</f>
        <v>318646.31000000134</v>
      </c>
      <c r="T15" s="48">
        <f>H15-I15</f>
        <v>364356.35000000015</v>
      </c>
      <c r="V15" s="48">
        <f>85263.48-321.29+5015.91</f>
        <v>89958.1</v>
      </c>
      <c r="W15" s="49">
        <v>2239.41</v>
      </c>
      <c r="Y15" s="48">
        <v>64088.62</v>
      </c>
      <c r="Z15" s="48">
        <v>129.38999999999999</v>
      </c>
    </row>
    <row r="16" spans="1:26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5.98</v>
      </c>
      <c r="H16" s="33">
        <f>'ТСЖ 4 кв.2022г.'!H16-'ТСЖ 4 кв.2022г.'!I16+W16+V16</f>
        <v>113392.87999999998</v>
      </c>
      <c r="I16" s="33">
        <f t="shared" ref="I16:I29" si="0">Y16+W16+Z16</f>
        <v>36648.67</v>
      </c>
      <c r="J16" s="33">
        <f>'ТСЖ 4 кв.2022г.'!J16+Y16+Z16+W16</f>
        <v>1059447.3700000003</v>
      </c>
      <c r="K16" s="33">
        <f>'ТСЖ 4 кв.2022г.'!K16+'ТСЖ 1 кв.2023г.'!I16</f>
        <v>981265.12000000023</v>
      </c>
      <c r="L16" s="43"/>
      <c r="M16" s="66"/>
      <c r="N16" s="33">
        <f>'ТСЖ 3 кв.2022г.'!N16</f>
        <v>221688.82</v>
      </c>
      <c r="O16" s="105">
        <f t="shared" ref="O16:O29" si="1">K16-N16</f>
        <v>759576.30000000028</v>
      </c>
      <c r="P16" s="78">
        <v>264064.82</v>
      </c>
      <c r="Q16" s="46">
        <f>K16/J16*100</f>
        <v>92.620468726067998</v>
      </c>
      <c r="S16" s="48">
        <f t="shared" ref="S16:S29" si="2">J16-K16+W16</f>
        <v>78182.250000000116</v>
      </c>
      <c r="T16" s="48">
        <f t="shared" ref="T16:T29" si="3">H16-I16</f>
        <v>76744.209999999977</v>
      </c>
      <c r="V16" s="48">
        <f>34243.86+1351.9</f>
        <v>35595.760000000002</v>
      </c>
      <c r="Y16" s="48">
        <v>35878.11</v>
      </c>
      <c r="Z16" s="48">
        <v>770.56</v>
      </c>
    </row>
    <row r="17" spans="1:26" s="49" customFormat="1" ht="39.75" customHeight="1">
      <c r="A17" s="32">
        <v>1</v>
      </c>
      <c r="B17" s="60" t="s">
        <v>28</v>
      </c>
      <c r="C17" s="60" t="s">
        <v>402</v>
      </c>
      <c r="D17" s="60">
        <v>2002</v>
      </c>
      <c r="E17" s="60"/>
      <c r="F17" s="61">
        <v>1947.3</v>
      </c>
      <c r="G17" s="60">
        <v>5.98</v>
      </c>
      <c r="H17" s="33">
        <f>'ТСЖ 4 кв.2022г.'!H17-'ТСЖ 4 кв.2022г.'!I17+W17+V17</f>
        <v>156284.13000000006</v>
      </c>
      <c r="I17" s="33">
        <f t="shared" si="0"/>
        <v>23189.77</v>
      </c>
      <c r="J17" s="33">
        <f>'ТСЖ 4 кв.2022г.'!J17+Y17+Z17+W17</f>
        <v>1095665.3399999994</v>
      </c>
      <c r="K17" s="33">
        <f>'ТСЖ 4 кв.2022г.'!K17+'ТСЖ 1 кв.2023г.'!I17</f>
        <v>956591.27</v>
      </c>
      <c r="L17" s="72"/>
      <c r="M17" s="73"/>
      <c r="N17" s="33">
        <f>'ТСЖ 3 кв.2022г.'!N17</f>
        <v>476040</v>
      </c>
      <c r="O17" s="105">
        <f t="shared" si="1"/>
        <v>480551.27</v>
      </c>
      <c r="P17" s="74">
        <v>253163.82</v>
      </c>
      <c r="Q17" s="65">
        <f>K17/J17*100</f>
        <v>87.306884235290354</v>
      </c>
      <c r="S17" s="48">
        <f t="shared" si="2"/>
        <v>139074.06999999937</v>
      </c>
      <c r="T17" s="48">
        <f t="shared" si="3"/>
        <v>133094.36000000007</v>
      </c>
      <c r="V17" s="48">
        <f>34934.5+1853.7</f>
        <v>36788.199999999997</v>
      </c>
      <c r="Y17" s="48">
        <v>23164.9</v>
      </c>
      <c r="Z17" s="48">
        <v>24.87</v>
      </c>
    </row>
    <row r="18" spans="1:26" s="49" customFormat="1" ht="63.75" customHeight="1" thickBot="1">
      <c r="A18" s="32">
        <v>1</v>
      </c>
      <c r="B18" s="60" t="s">
        <v>28</v>
      </c>
      <c r="C18" s="60" t="s">
        <v>403</v>
      </c>
      <c r="D18" s="60">
        <v>2003</v>
      </c>
      <c r="E18" s="60"/>
      <c r="F18" s="61">
        <v>2990</v>
      </c>
      <c r="G18" s="60">
        <v>5.98</v>
      </c>
      <c r="H18" s="33">
        <f>'ТСЖ 4 кв.2022г.'!H18-'ТСЖ 4 кв.2022г.'!I18+W18+V18</f>
        <v>211279.16000000009</v>
      </c>
      <c r="I18" s="33">
        <f t="shared" si="0"/>
        <v>48125.8</v>
      </c>
      <c r="J18" s="33">
        <f>'ТСЖ 4 кв.2022г.'!J18+Y18+Z18+W18</f>
        <v>1668241.7899999993</v>
      </c>
      <c r="K18" s="33">
        <f>'ТСЖ 4 кв.2022г.'!K18+'ТСЖ 1 кв.2023г.'!I18</f>
        <v>1501037.21</v>
      </c>
      <c r="L18" s="72"/>
      <c r="M18" s="73"/>
      <c r="N18" s="33">
        <f>'ТСЖ 3 кв.2022г.'!N18</f>
        <v>731630</v>
      </c>
      <c r="O18" s="105">
        <f t="shared" si="1"/>
        <v>769407.21</v>
      </c>
      <c r="P18" s="44">
        <v>378042.71</v>
      </c>
      <c r="Q18" s="65">
        <f t="shared" ref="Q18:Q28" si="4">K18/J18*100</f>
        <v>89.977197490059311</v>
      </c>
      <c r="S18" s="48">
        <f t="shared" si="2"/>
        <v>167204.57999999938</v>
      </c>
      <c r="T18" s="48">
        <f t="shared" si="3"/>
        <v>163153.3600000001</v>
      </c>
      <c r="V18" s="48">
        <f>53640.6+1879.11</f>
        <v>55519.71</v>
      </c>
      <c r="Y18" s="48">
        <v>47793.440000000002</v>
      </c>
      <c r="Z18" s="48">
        <v>332.36</v>
      </c>
    </row>
    <row r="19" spans="1:26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5.98</v>
      </c>
      <c r="H19" s="33">
        <f>'ТСЖ 4 кв.2022г.'!H19-'ТСЖ 4 кв.2022г.'!I19+W19+V19</f>
        <v>91559.459999999992</v>
      </c>
      <c r="I19" s="33">
        <f t="shared" si="0"/>
        <v>23776.829999999998</v>
      </c>
      <c r="J19" s="33">
        <f>'ТСЖ 4 кв.2022г.'!J19+Y19+Z19+W19</f>
        <v>1007360.7699999998</v>
      </c>
      <c r="K19" s="33">
        <f>'ТСЖ 4 кв.2022г.'!K19+'ТСЖ 1 кв.2023г.'!I19</f>
        <v>873910.41</v>
      </c>
      <c r="L19" s="43"/>
      <c r="M19" s="66"/>
      <c r="N19" s="33">
        <f>'ТСЖ 3 кв.2022г.'!N19</f>
        <v>230810</v>
      </c>
      <c r="O19" s="105">
        <f t="shared" si="1"/>
        <v>643100.41</v>
      </c>
      <c r="P19" s="44">
        <v>252978.03</v>
      </c>
      <c r="Q19" s="46">
        <f>K19/J19*100</f>
        <v>86.752475977399854</v>
      </c>
      <c r="S19" s="93">
        <f t="shared" si="2"/>
        <v>133450.35999999975</v>
      </c>
      <c r="T19" s="93">
        <f t="shared" si="3"/>
        <v>67782.62999999999</v>
      </c>
      <c r="V19" s="93">
        <f>30472.86+765.05</f>
        <v>31237.91</v>
      </c>
      <c r="Y19" s="93">
        <v>23753.17</v>
      </c>
      <c r="Z19" s="93">
        <v>23.66</v>
      </c>
    </row>
    <row r="20" spans="1:26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5.98</v>
      </c>
      <c r="H20" s="33">
        <f>'ТСЖ 4 кв.2022г.'!H20-'ТСЖ 4 кв.2022г.'!I20+W20+V20</f>
        <v>76593.679999999993</v>
      </c>
      <c r="I20" s="33">
        <f t="shared" si="0"/>
        <v>15658.6</v>
      </c>
      <c r="J20" s="33">
        <f>'ТСЖ 4 кв.2022г.'!J20+Y20+Z20+W20</f>
        <v>653879.0399999998</v>
      </c>
      <c r="K20" s="33">
        <f>'ТСЖ 4 кв.2022г.'!K20+'ТСЖ 1 кв.2023г.'!I20</f>
        <v>597767.78999999992</v>
      </c>
      <c r="L20" s="43"/>
      <c r="M20" s="66"/>
      <c r="N20" s="33">
        <f>'ТСЖ 3 кв.2022г.'!N20</f>
        <v>208003.99</v>
      </c>
      <c r="O20" s="121">
        <f t="shared" si="1"/>
        <v>389763.79999999993</v>
      </c>
      <c r="P20" s="74">
        <v>124839.69</v>
      </c>
      <c r="Q20" s="46">
        <f t="shared" si="4"/>
        <v>91.418711020313495</v>
      </c>
      <c r="S20" s="93">
        <f t="shared" si="2"/>
        <v>56111.249999999884</v>
      </c>
      <c r="T20" s="93">
        <f t="shared" si="3"/>
        <v>60935.079999999994</v>
      </c>
      <c r="V20" s="93">
        <f>21330.69+576.06</f>
        <v>21906.75</v>
      </c>
      <c r="Y20" s="93">
        <v>15658.6</v>
      </c>
      <c r="Z20" s="93"/>
    </row>
    <row r="21" spans="1:26" s="92" customFormat="1" ht="52.5" customHeight="1" thickBot="1">
      <c r="A21" s="32">
        <v>1</v>
      </c>
      <c r="B21" s="60" t="s">
        <v>28</v>
      </c>
      <c r="C21" s="60" t="s">
        <v>391</v>
      </c>
      <c r="D21" s="60">
        <v>2012</v>
      </c>
      <c r="E21" s="60"/>
      <c r="F21" s="61">
        <v>2427.8000000000002</v>
      </c>
      <c r="G21" s="60">
        <v>5.98</v>
      </c>
      <c r="H21" s="33">
        <f>'ТСЖ 4 кв.2022г.'!H21-'ТСЖ 4 кв.2022г.'!I21+W21+V21</f>
        <v>194176.71000000002</v>
      </c>
      <c r="I21" s="33">
        <f t="shared" si="0"/>
        <v>31766.68</v>
      </c>
      <c r="J21" s="33">
        <f>'ТСЖ 4 кв.2022г.'!J21+Y21+Z21+W21</f>
        <v>1323626.53</v>
      </c>
      <c r="K21" s="33">
        <f>'ТСЖ 4 кв.2022г.'!K21+'ТСЖ 1 кв.2023г.'!I21</f>
        <v>1178597.3099999998</v>
      </c>
      <c r="L21" s="72"/>
      <c r="M21" s="61"/>
      <c r="N21" s="33">
        <f>'ТСЖ 3 кв.2022г.'!N21</f>
        <v>0</v>
      </c>
      <c r="O21" s="105">
        <f t="shared" si="1"/>
        <v>1178597.3099999998</v>
      </c>
      <c r="P21" s="44">
        <v>388089.32</v>
      </c>
      <c r="Q21" s="65">
        <f t="shared" si="4"/>
        <v>89.043040713304507</v>
      </c>
      <c r="S21" s="93">
        <f t="shared" si="2"/>
        <v>145029.2200000002</v>
      </c>
      <c r="T21" s="93">
        <f t="shared" si="3"/>
        <v>162410.03000000003</v>
      </c>
      <c r="V21" s="92">
        <f>43554.66+1748.55</f>
        <v>45303.210000000006</v>
      </c>
      <c r="Y21" s="93">
        <v>31736.28</v>
      </c>
      <c r="Z21" s="93">
        <v>30.4</v>
      </c>
    </row>
    <row r="22" spans="1:26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5.98</v>
      </c>
      <c r="H22" s="33">
        <f>'ТСЖ 4 кв.2022г.'!H22-'ТСЖ 4 кв.2022г.'!I22+W22+V22</f>
        <v>111086.94000000003</v>
      </c>
      <c r="I22" s="33">
        <f t="shared" si="0"/>
        <v>29150.799999999999</v>
      </c>
      <c r="J22" s="33">
        <f>'ТСЖ 4 кв.2022г.'!J22+Y22+Z22+W22</f>
        <v>1142851.3200000003</v>
      </c>
      <c r="K22" s="33">
        <f>'ТСЖ 4 кв.2022г.'!K22+'ТСЖ 1 кв.2023г.'!I22</f>
        <v>1069998.06</v>
      </c>
      <c r="L22" s="43"/>
      <c r="M22" s="66"/>
      <c r="N22" s="33">
        <f>'ТСЖ 3 кв.2022г.'!N22</f>
        <v>454457.47</v>
      </c>
      <c r="O22" s="105">
        <f t="shared" si="1"/>
        <v>615540.59000000008</v>
      </c>
      <c r="P22" s="74">
        <v>223464.31</v>
      </c>
      <c r="Q22" s="46">
        <f>K22/J22*100</f>
        <v>93.625307270940525</v>
      </c>
      <c r="S22" s="93">
        <f t="shared" si="2"/>
        <v>72853.260000000242</v>
      </c>
      <c r="T22" s="93">
        <f t="shared" si="3"/>
        <v>81936.140000000029</v>
      </c>
      <c r="V22" s="93">
        <f>37277.55+1221.46</f>
        <v>38499.01</v>
      </c>
      <c r="Y22" s="93">
        <v>29120.54</v>
      </c>
      <c r="Z22" s="93">
        <v>30.26</v>
      </c>
    </row>
    <row r="23" spans="1:26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5.98</v>
      </c>
      <c r="H23" s="33">
        <f>'ТСЖ 4 кв.2022г.'!H23-'ТСЖ 4 кв.2022г.'!I23+W23+V23</f>
        <v>46751.53</v>
      </c>
      <c r="I23" s="33">
        <f t="shared" si="0"/>
        <v>29641.7</v>
      </c>
      <c r="J23" s="33">
        <f>'ТСЖ 4 кв.2022г.'!J23+Y23+Z23+W23</f>
        <v>1151291.2399999998</v>
      </c>
      <c r="K23" s="33">
        <f>'ТСЖ 4 кв.2022г.'!K23+'ТСЖ 1 кв.2023г.'!I23</f>
        <v>1132468.28</v>
      </c>
      <c r="L23" s="43"/>
      <c r="M23" s="66"/>
      <c r="N23" s="33">
        <f>'ТСЖ 3 кв.2022г.'!N23</f>
        <v>435700.47000000003</v>
      </c>
      <c r="O23" s="105">
        <f t="shared" si="1"/>
        <v>696767.81</v>
      </c>
      <c r="P23" s="78">
        <v>243907.98</v>
      </c>
      <c r="Q23" s="46">
        <f t="shared" si="4"/>
        <v>98.3650566124346</v>
      </c>
      <c r="S23" s="93">
        <f t="shared" si="2"/>
        <v>18822.95999999973</v>
      </c>
      <c r="T23" s="93">
        <f t="shared" si="3"/>
        <v>17109.829999999998</v>
      </c>
      <c r="V23" s="93">
        <f>37431.87+128.52</f>
        <v>37560.39</v>
      </c>
      <c r="Y23" s="93">
        <v>29635.91</v>
      </c>
      <c r="Z23" s="93">
        <v>5.79</v>
      </c>
    </row>
    <row r="24" spans="1:26" s="92" customFormat="1" ht="30.75" thickBot="1">
      <c r="A24" s="32">
        <v>1</v>
      </c>
      <c r="B24" s="60" t="s">
        <v>28</v>
      </c>
      <c r="C24" s="60" t="s">
        <v>394</v>
      </c>
      <c r="D24" s="60">
        <v>1996</v>
      </c>
      <c r="E24" s="60"/>
      <c r="F24" s="61">
        <v>2824.4</v>
      </c>
      <c r="G24" s="60">
        <v>5.98</v>
      </c>
      <c r="H24" s="33">
        <f>'ТСЖ 4 кв.2022г.'!H24-'ТСЖ 4 кв.2022г.'!I24+W24+V24</f>
        <v>233883.00000000003</v>
      </c>
      <c r="I24" s="33">
        <f t="shared" si="0"/>
        <v>38965.99</v>
      </c>
      <c r="J24" s="33">
        <f>'ТСЖ 4 кв.2022г.'!J24+Y24+Z24+W24</f>
        <v>1554829.9400000004</v>
      </c>
      <c r="K24" s="33">
        <f>'ТСЖ 4 кв.2022г.'!K24+'ТСЖ 1 кв.2023г.'!I24</f>
        <v>1384613.4300000002</v>
      </c>
      <c r="L24" s="72"/>
      <c r="M24" s="61"/>
      <c r="N24" s="33">
        <f>'ТСЖ 3 кв.2022г.'!N24</f>
        <v>124391</v>
      </c>
      <c r="O24" s="121">
        <f t="shared" si="1"/>
        <v>1260222.4300000002</v>
      </c>
      <c r="P24" s="44">
        <v>420551</v>
      </c>
      <c r="Q24" s="65">
        <f>K24/J24*100</f>
        <v>89.052403377310824</v>
      </c>
      <c r="S24" s="93">
        <f>J24-K24+3064.16</f>
        <v>173280.67000000025</v>
      </c>
      <c r="T24" s="93">
        <f t="shared" si="3"/>
        <v>194917.01000000004</v>
      </c>
      <c r="V24" s="93">
        <f>50669.73+2757.24</f>
        <v>53426.97</v>
      </c>
      <c r="W24" s="92">
        <v>1507.36</v>
      </c>
      <c r="Y24" s="93">
        <v>37377.279999999999</v>
      </c>
      <c r="Z24" s="93">
        <v>81.349999999999994</v>
      </c>
    </row>
    <row r="25" spans="1:26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5.98</v>
      </c>
      <c r="H25" s="33">
        <f>'ТСЖ 4 кв.2022г.'!H25-'ТСЖ 4 кв.2022г.'!I25+W25+V25</f>
        <v>56812.99000000002</v>
      </c>
      <c r="I25" s="33">
        <f t="shared" si="0"/>
        <v>13923.72</v>
      </c>
      <c r="J25" s="33">
        <f>'ТСЖ 4 кв.2022г.'!J25+Y25+Z25+W25</f>
        <v>619313.87</v>
      </c>
      <c r="K25" s="33">
        <f>'ТСЖ 4 кв.2022г.'!K25+'ТСЖ 1 кв.2023г.'!I25</f>
        <v>584564.25</v>
      </c>
      <c r="L25" s="43"/>
      <c r="M25" s="66"/>
      <c r="N25" s="33">
        <f>'ТСЖ 3 кв.2022г.'!N25</f>
        <v>248930</v>
      </c>
      <c r="O25" s="105">
        <f t="shared" si="1"/>
        <v>335634.25</v>
      </c>
      <c r="P25" s="44">
        <v>146097.04999999999</v>
      </c>
      <c r="Q25" s="46">
        <f t="shared" si="4"/>
        <v>94.389013118663073</v>
      </c>
      <c r="S25" s="93">
        <f t="shared" si="2"/>
        <v>34749.619999999995</v>
      </c>
      <c r="T25" s="93">
        <f t="shared" si="3"/>
        <v>42889.270000000019</v>
      </c>
      <c r="U25" s="93"/>
      <c r="V25" s="93">
        <f>20361.9+630.19</f>
        <v>20992.09</v>
      </c>
      <c r="Y25" s="93">
        <v>13921.51</v>
      </c>
      <c r="Z25" s="93">
        <v>2.21</v>
      </c>
    </row>
    <row r="26" spans="1:26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5.98</v>
      </c>
      <c r="H26" s="33">
        <f>'ТСЖ 4 кв.2022г.'!H26-'ТСЖ 4 кв.2022г.'!I26+W26+V26</f>
        <v>176519.98999999993</v>
      </c>
      <c r="I26" s="33">
        <f t="shared" si="0"/>
        <v>25535.200000000001</v>
      </c>
      <c r="J26" s="33">
        <f>'ТСЖ 4 кв.2022г.'!J26+Y26+Z26+W26</f>
        <v>1165320.2500000002</v>
      </c>
      <c r="K26" s="33">
        <f>'ТСЖ 4 кв.2022г.'!K26+'ТСЖ 1 кв.2023г.'!I26</f>
        <v>1030515.4800000001</v>
      </c>
      <c r="L26" s="43"/>
      <c r="M26" s="33"/>
      <c r="N26" s="33">
        <f>'ТСЖ 3 кв.2022г.'!N26</f>
        <v>532320</v>
      </c>
      <c r="O26" s="105">
        <f t="shared" si="1"/>
        <v>498195.4800000001</v>
      </c>
      <c r="P26" s="44">
        <v>235115.53</v>
      </c>
      <c r="Q26" s="46">
        <f>K26/J26*100</f>
        <v>88.431955078443011</v>
      </c>
      <c r="S26" s="93">
        <f t="shared" si="2"/>
        <v>134804.77000000014</v>
      </c>
      <c r="T26" s="93">
        <f t="shared" si="3"/>
        <v>150984.78999999992</v>
      </c>
      <c r="V26" s="93">
        <f>38020.17+1999.22</f>
        <v>40019.39</v>
      </c>
      <c r="Y26" s="93">
        <v>25432.89</v>
      </c>
      <c r="Z26" s="93">
        <v>102.31</v>
      </c>
    </row>
    <row r="27" spans="1:26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5.98</v>
      </c>
      <c r="H27" s="33">
        <f>'ТСЖ 4 кв.2022г.'!H27-'ТСЖ 4 кв.2022г.'!I27+W27+V27</f>
        <v>176204.12999999995</v>
      </c>
      <c r="I27" s="33">
        <f t="shared" si="0"/>
        <v>30750.5</v>
      </c>
      <c r="J27" s="33">
        <f>'ТСЖ 4 кв.2022г.'!J27+Y27+Z27+W27</f>
        <v>1154464.1100000003</v>
      </c>
      <c r="K27" s="33">
        <f>'ТСЖ 4 кв.2022г.'!K27+'ТСЖ 1 кв.2023г.'!I27</f>
        <v>1020369.0200000001</v>
      </c>
      <c r="L27" s="43"/>
      <c r="M27" s="66"/>
      <c r="N27" s="33">
        <f>'ТСЖ 3 кв.2022г.'!N27</f>
        <v>475020</v>
      </c>
      <c r="O27" s="105">
        <f t="shared" si="1"/>
        <v>545349.02000000014</v>
      </c>
      <c r="P27" s="44">
        <v>287247.24</v>
      </c>
      <c r="Q27" s="46">
        <f>K27/J27*100</f>
        <v>88.384646275404762</v>
      </c>
      <c r="S27" s="93">
        <f t="shared" si="2"/>
        <v>134095.0900000002</v>
      </c>
      <c r="T27" s="93">
        <f t="shared" si="3"/>
        <v>145453.62999999995</v>
      </c>
      <c r="V27" s="93">
        <f>37575.33+1756.27</f>
        <v>39331.599999999999</v>
      </c>
      <c r="Y27" s="93">
        <v>30739.54</v>
      </c>
      <c r="Z27" s="93">
        <v>10.96</v>
      </c>
    </row>
    <row r="28" spans="1:26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5.98</v>
      </c>
      <c r="H28" s="33">
        <f>'ТСЖ 4 кв.2022г.'!H28-'ТСЖ 4 кв.2022г.'!I28+W28+V28</f>
        <v>209410.95</v>
      </c>
      <c r="I28" s="33">
        <f t="shared" si="0"/>
        <v>56384.149999999994</v>
      </c>
      <c r="J28" s="33">
        <f>'ТСЖ 4 кв.2022г.'!J28+Y28+Z28+W28</f>
        <v>1777279.6900000004</v>
      </c>
      <c r="K28" s="33">
        <f>'ТСЖ 4 кв.2022г.'!K28+'ТСЖ 1 кв.2023г.'!I28</f>
        <v>1639278.8699999996</v>
      </c>
      <c r="L28" s="43"/>
      <c r="M28" s="33"/>
      <c r="N28" s="33">
        <f>'ТСЖ 3 кв.2022г.'!N28</f>
        <v>774822</v>
      </c>
      <c r="O28" s="105">
        <f t="shared" si="1"/>
        <v>864456.86999999965</v>
      </c>
      <c r="P28" s="44">
        <v>354498.41</v>
      </c>
      <c r="Q28" s="46">
        <f t="shared" si="4"/>
        <v>92.235278398978352</v>
      </c>
      <c r="S28" s="93">
        <f t="shared" si="2"/>
        <v>138000.82000000076</v>
      </c>
      <c r="T28" s="93">
        <f t="shared" si="3"/>
        <v>153026.80000000002</v>
      </c>
      <c r="U28" s="93"/>
      <c r="V28" s="93">
        <f>57867.21+2062.78</f>
        <v>59929.99</v>
      </c>
      <c r="Y28" s="93">
        <v>56166.84</v>
      </c>
      <c r="Z28" s="93">
        <v>217.31</v>
      </c>
    </row>
    <row r="29" spans="1:26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5.98</v>
      </c>
      <c r="H29" s="33">
        <f>'ТСЖ 4 кв.2022г.'!H29-'ТСЖ 4 кв.2022г.'!I29+W29+V29</f>
        <v>190392.32999999987</v>
      </c>
      <c r="I29" s="33">
        <f t="shared" si="0"/>
        <v>25493.73</v>
      </c>
      <c r="J29" s="33">
        <f>'ТСЖ 4 кв.2022г.'!J29+Y29+Z29+W29</f>
        <v>1165433.8399999996</v>
      </c>
      <c r="K29" s="33">
        <f>'ТСЖ 4 кв.2022г.'!K29+'ТСЖ 1 кв.2023г.'!I29</f>
        <v>1024808.8900000001</v>
      </c>
      <c r="L29" s="43"/>
      <c r="M29" s="66"/>
      <c r="N29" s="33">
        <f>'ТСЖ 3 кв.2022г.'!N29</f>
        <v>721587</v>
      </c>
      <c r="O29" s="105">
        <f t="shared" si="1"/>
        <v>303221.89000000013</v>
      </c>
      <c r="P29" s="44">
        <v>309141.18</v>
      </c>
      <c r="Q29" s="46">
        <f>K29/J29*100</f>
        <v>87.933682275778139</v>
      </c>
      <c r="S29" s="48">
        <f t="shared" si="2"/>
        <v>140624.94999999949</v>
      </c>
      <c r="T29" s="48">
        <f t="shared" si="3"/>
        <v>164898.59999999986</v>
      </c>
      <c r="V29" s="93">
        <f>38310.87+2298.75</f>
        <v>40609.620000000003</v>
      </c>
      <c r="Y29" s="48">
        <v>25473.93</v>
      </c>
      <c r="Z29" s="48">
        <v>19.8</v>
      </c>
    </row>
    <row r="30" spans="1:26" ht="12.75" customHeight="1">
      <c r="A30" s="2"/>
      <c r="O30" s="119"/>
      <c r="S30" s="3">
        <f>SUM(S15:S29)</f>
        <v>1884930.1800000009</v>
      </c>
      <c r="Y30" s="3">
        <f>SUM(Y15:Y29)</f>
        <v>489941.56</v>
      </c>
      <c r="Z30" s="3">
        <f>SUM(Z15:Z29)</f>
        <v>1781.2299999999998</v>
      </c>
    </row>
    <row r="31" spans="1:26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6" ht="18.75" customHeight="1">
      <c r="A32" s="2"/>
      <c r="B32" s="107" t="s">
        <v>164</v>
      </c>
      <c r="C32" s="182" t="s">
        <v>426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6" hidden="1">
      <c r="A33" s="2"/>
      <c r="B33" s="108" t="s">
        <v>165</v>
      </c>
      <c r="C33" s="202" t="s">
        <v>303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26" hidden="1">
      <c r="A34" s="2"/>
      <c r="B34" s="108" t="s">
        <v>166</v>
      </c>
      <c r="C34" s="202" t="s">
        <v>336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26" ht="15.75" hidden="1" customHeight="1">
      <c r="A35" s="2"/>
      <c r="B35" s="108" t="s">
        <v>167</v>
      </c>
      <c r="C35" s="202" t="s">
        <v>337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26" ht="15.75" hidden="1" customHeight="1">
      <c r="A36" s="2"/>
      <c r="B36" s="108" t="s">
        <v>168</v>
      </c>
      <c r="C36" s="202" t="s">
        <v>338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26" hidden="1">
      <c r="A37" s="2"/>
      <c r="B37" s="108" t="s">
        <v>165</v>
      </c>
      <c r="C37" s="202" t="s">
        <v>339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26" hidden="1">
      <c r="A38" s="2"/>
      <c r="B38" s="108" t="s">
        <v>166</v>
      </c>
      <c r="C38" s="202" t="s">
        <v>340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26" ht="15.75" hidden="1" customHeight="1">
      <c r="A39" s="2"/>
      <c r="B39" s="108" t="s">
        <v>167</v>
      </c>
      <c r="C39" s="202" t="s">
        <v>341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26" ht="15.75" hidden="1" customHeight="1">
      <c r="A40" s="2"/>
      <c r="B40" s="108" t="s">
        <v>168</v>
      </c>
      <c r="C40" s="202" t="s">
        <v>342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26" ht="15" hidden="1" customHeight="1">
      <c r="A41" s="2"/>
      <c r="B41" s="108" t="s">
        <v>171</v>
      </c>
      <c r="C41" s="202" t="s">
        <v>343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6" ht="15.75" hidden="1" customHeight="1">
      <c r="A42" s="2"/>
      <c r="B42" s="108" t="s">
        <v>176</v>
      </c>
      <c r="C42" s="202" t="s">
        <v>344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26" ht="15.75" hidden="1" customHeight="1">
      <c r="A43" s="2"/>
      <c r="B43" s="108" t="s">
        <v>177</v>
      </c>
      <c r="C43" s="202" t="s">
        <v>345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26" ht="15.75">
      <c r="A44" s="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26" s="27" customFormat="1" ht="15.75">
      <c r="A45" s="4" t="str">
        <f>'УК 1 кв. 2023г.'!A39</f>
        <v>04 апреля 2023г.</v>
      </c>
      <c r="I45" s="28"/>
      <c r="Y45" s="28"/>
      <c r="Z45" s="28"/>
    </row>
    <row r="46" spans="1:26" s="27" customFormat="1" ht="15.75">
      <c r="A46" s="4"/>
      <c r="I46" s="28"/>
      <c r="Y46" s="28"/>
      <c r="Z46" s="28"/>
    </row>
    <row r="47" spans="1:26" s="27" customFormat="1" ht="15.75">
      <c r="A47" s="4"/>
      <c r="I47" s="28"/>
      <c r="Y47" s="28"/>
      <c r="Z47" s="28"/>
    </row>
    <row r="48" spans="1:26" s="27" customFormat="1" ht="15.75">
      <c r="A48" s="4" t="s">
        <v>47</v>
      </c>
      <c r="I48" s="28"/>
      <c r="Y48" s="28"/>
      <c r="Z48" s="28"/>
    </row>
    <row r="49" spans="1:26" s="27" customFormat="1" ht="15.75">
      <c r="A49" s="30" t="s">
        <v>48</v>
      </c>
      <c r="I49" s="28"/>
      <c r="Y49" s="28"/>
      <c r="Z49" s="28"/>
    </row>
    <row r="50" spans="1:26">
      <c r="A50" s="1"/>
    </row>
    <row r="51" spans="1:26">
      <c r="A51" s="1"/>
      <c r="K51" s="3"/>
    </row>
    <row r="52" spans="1:26">
      <c r="A52" s="1"/>
    </row>
    <row r="53" spans="1:26">
      <c r="A53" s="1"/>
    </row>
    <row r="54" spans="1:26">
      <c r="A54" s="1"/>
    </row>
    <row r="55" spans="1:26">
      <c r="A55" s="1"/>
    </row>
    <row r="56" spans="1:26">
      <c r="A56" s="1"/>
    </row>
    <row r="57" spans="1:26">
      <c r="A57" s="1"/>
    </row>
    <row r="58" spans="1:26">
      <c r="A58" s="1"/>
    </row>
    <row r="59" spans="1:26">
      <c r="A59" s="1"/>
    </row>
    <row r="60" spans="1:26">
      <c r="A60" s="1"/>
    </row>
    <row r="61" spans="1:26">
      <c r="A61" s="1"/>
    </row>
    <row r="62" spans="1:26">
      <c r="A62" s="1"/>
    </row>
    <row r="63" spans="1:26">
      <c r="A63" s="1"/>
    </row>
    <row r="64" spans="1:26">
      <c r="A64" s="1"/>
    </row>
  </sheetData>
  <autoFilter ref="A13:Z29"/>
  <mergeCells count="36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F11:F13"/>
    <mergeCell ref="G11:G13"/>
    <mergeCell ref="H11:I11"/>
    <mergeCell ref="J11:K11"/>
    <mergeCell ref="L11:N1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43:O43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opLeftCell="A19" zoomScaleNormal="100" workbookViewId="0">
      <selection activeCell="O22" sqref="O22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424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5.98</v>
      </c>
      <c r="H16" s="33">
        <f>'УК 4 кв. 2022г.'!H16-'УК 4 кв. 2022г.'!I16+V16+W16+X16</f>
        <v>402161.09999999992</v>
      </c>
      <c r="I16" s="33">
        <f>139003.11+71.72</f>
        <v>139074.82999999999</v>
      </c>
      <c r="J16" s="33">
        <f>'УК 4 кв. 2022г.'!J16+'УК 1 кв. 2023г.'!V16+'УК 1 кв. 2023г.'!W16</f>
        <v>5153604.1899999985</v>
      </c>
      <c r="K16" s="33">
        <f>'УК 4 кв. 2022г.'!K16+'УК 1 кв. 2023г.'!I16</f>
        <v>4971294.6100000003</v>
      </c>
      <c r="L16" s="64"/>
      <c r="M16" s="47"/>
      <c r="N16" s="33">
        <f>'УК 4 кв. 2022г.'!N16</f>
        <v>894970.86</v>
      </c>
      <c r="O16" s="33">
        <f>K16-N16</f>
        <v>4076323.7500000005</v>
      </c>
      <c r="P16" s="110">
        <f>K16/J16*100</f>
        <v>96.462483860251623</v>
      </c>
      <c r="R16" s="19">
        <f>J16-K16</f>
        <v>182309.57999999821</v>
      </c>
      <c r="S16" s="19">
        <f>H16-I16</f>
        <v>263086.2699999999</v>
      </c>
      <c r="V16" s="19">
        <v>167156.01</v>
      </c>
      <c r="W16" s="19">
        <f>1981.32-3.78</f>
        <v>1977.54</v>
      </c>
    </row>
    <row r="17" spans="1:23" s="15" customFormat="1" ht="48.7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2" t="s">
        <v>58</v>
      </c>
      <c r="G17" s="32">
        <v>8.33</v>
      </c>
      <c r="H17" s="33">
        <f>'УК 4 кв. 2022г.'!H17-'УК 4 кв. 2022г.'!I17+V17+W17+X17</f>
        <v>138844.24000000005</v>
      </c>
      <c r="I17" s="33">
        <f>90174.01+1128.91</f>
        <v>91302.92</v>
      </c>
      <c r="J17" s="33">
        <f>'УК 4 кв. 2022г.'!J17+'УК 1 кв. 2023г.'!V17+'УК 1 кв. 2023г.'!W17</f>
        <v>1578120.3700000003</v>
      </c>
      <c r="K17" s="33">
        <f>'УК 4 кв. 2022г.'!K17+'УК 1 кв. 2023г.'!I17</f>
        <v>1530579.05</v>
      </c>
      <c r="L17" s="32"/>
      <c r="M17" s="32"/>
      <c r="N17" s="33">
        <f>'УК 4 кв. 2022г.'!N17</f>
        <v>0</v>
      </c>
      <c r="O17" s="33">
        <f>K17-N17</f>
        <v>1530579.05</v>
      </c>
      <c r="P17" s="110">
        <f t="shared" ref="P17:P21" si="0">K17/J17*100</f>
        <v>96.987471874531323</v>
      </c>
      <c r="R17" s="19">
        <f>J17-K17</f>
        <v>47541.320000000298</v>
      </c>
      <c r="S17" s="19">
        <f>H17-I17</f>
        <v>47541.320000000051</v>
      </c>
      <c r="V17" s="19">
        <f>77064.21-1285.59</f>
        <v>75778.62000000001</v>
      </c>
      <c r="W17" s="19">
        <v>1168.8800000000001</v>
      </c>
    </row>
    <row r="18" spans="1:23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8.33</v>
      </c>
      <c r="H18" s="33">
        <f>'УК 4 кв. 2022г.'!H18-'УК 4 кв. 2022г.'!I18+V18+W18+X18</f>
        <v>527988.49</v>
      </c>
      <c r="I18" s="33">
        <f>45301.6+687.65</f>
        <v>45989.25</v>
      </c>
      <c r="J18" s="33">
        <f>'УК 4 кв. 2022г.'!J18+'УК 1 кв. 2023г.'!V18+'УК 1 кв. 2023г.'!W18</f>
        <v>1930189.7500000002</v>
      </c>
      <c r="K18" s="33">
        <f>'УК 4 кв. 2022г.'!K18+'УК 1 кв. 2023г.'!I18</f>
        <v>1448190.5099999998</v>
      </c>
      <c r="L18" s="34"/>
      <c r="M18" s="89"/>
      <c r="N18" s="33">
        <f>'УК 4 кв. 2022г.'!N18</f>
        <v>365967</v>
      </c>
      <c r="O18" s="33">
        <f>K18-N18</f>
        <v>1082223.5099999998</v>
      </c>
      <c r="P18" s="110">
        <f t="shared" si="0"/>
        <v>75.028401223247585</v>
      </c>
      <c r="R18" s="19">
        <f>J18-K18</f>
        <v>481999.24000000046</v>
      </c>
      <c r="S18" s="19">
        <f>H18-I18</f>
        <v>481999.24</v>
      </c>
      <c r="V18" s="19">
        <v>62904.78</v>
      </c>
      <c r="W18" s="19">
        <v>2743.75</v>
      </c>
    </row>
    <row r="19" spans="1:23" s="15" customFormat="1" ht="33" customHeight="1">
      <c r="A19" s="32">
        <v>1</v>
      </c>
      <c r="B19" s="32" t="s">
        <v>28</v>
      </c>
      <c r="C19" s="103" t="s">
        <v>408</v>
      </c>
      <c r="D19" s="32">
        <v>2012</v>
      </c>
      <c r="E19" s="32"/>
      <c r="F19" s="33">
        <v>2729.9</v>
      </c>
      <c r="G19" s="32">
        <v>8.33</v>
      </c>
      <c r="H19" s="33">
        <f>'УК 4 кв. 2022г.'!H21-'УК 4 кв. 2022г.'!I21+V19+W19+X19</f>
        <v>314230.27999999997</v>
      </c>
      <c r="I19" s="33">
        <f>66232.37+3016.83</f>
        <v>69249.2</v>
      </c>
      <c r="J19" s="33">
        <f>'УК 4 кв. 2022г.'!J21+'УК 1 кв. 2023г.'!V19+'УК 1 кв. 2023г.'!W19</f>
        <v>2133660.5</v>
      </c>
      <c r="K19" s="33">
        <f>'УК 4 кв. 2022г.'!K21+'УК 1 кв. 2023г.'!I19</f>
        <v>1888679.42</v>
      </c>
      <c r="L19" s="43"/>
      <c r="M19" s="91"/>
      <c r="N19" s="33">
        <f>'УК 4 кв. 2022г.'!N21</f>
        <v>755760.4</v>
      </c>
      <c r="O19" s="33">
        <f t="shared" ref="O19:O23" si="1">K19-N19</f>
        <v>1132919.02</v>
      </c>
      <c r="P19" s="120">
        <f t="shared" si="0"/>
        <v>88.518272705521795</v>
      </c>
      <c r="R19" s="19">
        <f>J19-K19</f>
        <v>244981.08000000007</v>
      </c>
      <c r="S19" s="19">
        <f t="shared" ref="S19:S21" si="2">H19-I19</f>
        <v>244981.07999999996</v>
      </c>
      <c r="U19" s="19"/>
      <c r="V19" s="19">
        <v>68220.33</v>
      </c>
      <c r="W19" s="19">
        <v>1360.26</v>
      </c>
    </row>
    <row r="20" spans="1:23" ht="35.25" customHeight="1">
      <c r="A20" s="32">
        <v>1</v>
      </c>
      <c r="B20" s="32" t="s">
        <v>28</v>
      </c>
      <c r="C20" s="103" t="s">
        <v>409</v>
      </c>
      <c r="D20" s="32">
        <v>2007</v>
      </c>
      <c r="E20" s="32"/>
      <c r="F20" s="33">
        <v>2918.7</v>
      </c>
      <c r="G20" s="32">
        <v>8.33</v>
      </c>
      <c r="H20" s="33">
        <f>'УК 4 кв. 2022г.'!H24-'УК 4 кв. 2022г.'!I24+V20+W20+X20</f>
        <v>71648.01999999996</v>
      </c>
      <c r="I20" s="33">
        <f>64195.35+1.07</f>
        <v>64196.42</v>
      </c>
      <c r="J20" s="33">
        <f>'УК 4 кв. 2022г.'!J24+'УК 1 кв. 2023г.'!V20+'УК 1 кв. 2023г.'!W20</f>
        <v>2272451.39</v>
      </c>
      <c r="K20" s="33">
        <f>'УК 4 кв. 2022г.'!K24+'УК 1 кв. 2023г.'!I20</f>
        <v>2011663.2600000002</v>
      </c>
      <c r="L20" s="32"/>
      <c r="M20" s="32"/>
      <c r="N20" s="33">
        <f>'УК 4 кв. 2022г.'!N24</f>
        <v>650595</v>
      </c>
      <c r="O20" s="33">
        <f t="shared" si="1"/>
        <v>1361068.2600000002</v>
      </c>
      <c r="P20" s="120">
        <f t="shared" si="0"/>
        <v>88.52392921812951</v>
      </c>
      <c r="R20" s="19">
        <f>J20-K20</f>
        <v>260788.12999999989</v>
      </c>
      <c r="S20" s="19">
        <f t="shared" si="2"/>
        <v>7451.5999999999622</v>
      </c>
      <c r="V20" s="37">
        <v>72938.34</v>
      </c>
      <c r="W20" s="37">
        <v>4174.8100000000004</v>
      </c>
    </row>
    <row r="21" spans="1:23" ht="35.25" customHeight="1">
      <c r="A21" s="32">
        <v>1</v>
      </c>
      <c r="B21" s="32" t="s">
        <v>28</v>
      </c>
      <c r="C21" s="103" t="s">
        <v>410</v>
      </c>
      <c r="D21" s="32">
        <v>2018</v>
      </c>
      <c r="E21" s="32"/>
      <c r="F21" s="33">
        <v>4764.6000000000004</v>
      </c>
      <c r="G21" s="32">
        <v>8.33</v>
      </c>
      <c r="H21" s="33">
        <f>'УК 4 кв. 2022г.'!H25-'УК 4 кв. 2022г.'!I25+V21+W21+X21</f>
        <v>281325.58</v>
      </c>
      <c r="I21" s="33">
        <f>102873.01+1548.45</f>
        <v>104421.45999999999</v>
      </c>
      <c r="J21" s="33">
        <f>'УК 4 кв. 2022г.'!J25+'УК 1 кв. 2023г.'!V21+'УК 1 кв. 2023г.'!W21</f>
        <v>1078038.1600000001</v>
      </c>
      <c r="K21" s="33">
        <f>'УК 4 кв. 2022г.'!K25+'УК 1 кв. 2023г.'!I21</f>
        <v>890437.09</v>
      </c>
      <c r="L21" s="32"/>
      <c r="M21" s="32"/>
      <c r="N21" s="33">
        <f>'УК 4 кв. 2022г.'!N25</f>
        <v>0</v>
      </c>
      <c r="O21" s="33">
        <f t="shared" si="1"/>
        <v>890437.09</v>
      </c>
      <c r="P21" s="120">
        <f t="shared" si="0"/>
        <v>82.597919353800961</v>
      </c>
      <c r="R21" s="19">
        <f t="shared" ref="R21:R23" si="3">J21-K21</f>
        <v>187601.07000000018</v>
      </c>
      <c r="S21" s="19">
        <f t="shared" si="2"/>
        <v>176904.12000000002</v>
      </c>
      <c r="V21" s="37">
        <v>119067.42</v>
      </c>
      <c r="W21" s="37">
        <v>2676.93</v>
      </c>
    </row>
    <row r="22" spans="1:23" ht="35.25" customHeight="1">
      <c r="A22" s="32">
        <v>1</v>
      </c>
      <c r="B22" s="32" t="s">
        <v>28</v>
      </c>
      <c r="C22" s="103" t="s">
        <v>411</v>
      </c>
      <c r="D22" s="32">
        <v>2007</v>
      </c>
      <c r="E22" s="32"/>
      <c r="F22" s="33">
        <v>1202.9000000000001</v>
      </c>
      <c r="G22" s="32">
        <v>5.98</v>
      </c>
      <c r="H22" s="33">
        <f>'УК 4 кв. 2022г.'!H26-'УК 4 кв. 2022г.'!I26+V22+W22+X22</f>
        <v>152389.93</v>
      </c>
      <c r="I22" s="33">
        <f>19265.01+12851.9</f>
        <v>32116.909999999996</v>
      </c>
      <c r="J22" s="33">
        <f>'УК 4 кв. 2022г.'!J26+'УК 1 кв. 2023г.'!V22+'УК 1 кв. 2023г.'!W22</f>
        <v>641804.13</v>
      </c>
      <c r="K22" s="33">
        <f>'УК 4 кв. 2022г.'!K26+'УК 1 кв. 2023г.'!I22</f>
        <v>535161.96000000008</v>
      </c>
      <c r="L22" s="32"/>
      <c r="M22" s="32"/>
      <c r="N22" s="33">
        <f>'УК 4 кв. 2022г.'!N26</f>
        <v>0</v>
      </c>
      <c r="O22" s="33">
        <f>K22-N22</f>
        <v>535161.96000000008</v>
      </c>
      <c r="P22" s="120">
        <f>K22/J22*100</f>
        <v>83.384000660762354</v>
      </c>
      <c r="R22" s="19">
        <f t="shared" si="3"/>
        <v>106642.16999999993</v>
      </c>
      <c r="S22" s="19"/>
      <c r="V22" s="37">
        <v>21580.05</v>
      </c>
      <c r="W22" s="37">
        <v>1948.96</v>
      </c>
    </row>
    <row r="23" spans="1:23" ht="35.25" customHeight="1">
      <c r="A23" s="32">
        <v>1</v>
      </c>
      <c r="B23" s="32" t="s">
        <v>28</v>
      </c>
      <c r="C23" s="103" t="s">
        <v>412</v>
      </c>
      <c r="D23" s="32">
        <v>2006</v>
      </c>
      <c r="E23" s="32"/>
      <c r="F23" s="33">
        <v>1201.8</v>
      </c>
      <c r="G23" s="32">
        <v>5.98</v>
      </c>
      <c r="H23" s="33">
        <f>'УК 4 кв. 2022г.'!H27-'УК 4 кв. 2022г.'!I27+V23+W23+X23</f>
        <v>162416.95999999996</v>
      </c>
      <c r="I23" s="33">
        <f>13555.71+5.06</f>
        <v>13560.769999999999</v>
      </c>
      <c r="J23" s="33">
        <f>'УК 4 кв. 2022г.'!J27+'УК 1 кв. 2023г.'!V23+'УК 1 кв. 2023г.'!W23</f>
        <v>579152.82999999996</v>
      </c>
      <c r="K23" s="33">
        <f>'УК 4 кв. 2022г.'!K27+'УК 1 кв. 2023г.'!I23</f>
        <v>419601.31999999995</v>
      </c>
      <c r="L23" s="32"/>
      <c r="M23" s="32"/>
      <c r="N23" s="33">
        <f>'УК 4 кв. 2022г.'!N27</f>
        <v>369062</v>
      </c>
      <c r="O23" s="33">
        <f t="shared" si="1"/>
        <v>50539.319999999949</v>
      </c>
      <c r="P23" s="120">
        <f>K23/J23*100</f>
        <v>72.450879675404494</v>
      </c>
      <c r="R23" s="19">
        <f t="shared" si="3"/>
        <v>159551.51</v>
      </c>
      <c r="S23" s="19"/>
      <c r="V23" s="37">
        <v>21560.31</v>
      </c>
      <c r="W23" s="37">
        <v>2616.94</v>
      </c>
    </row>
    <row r="24" spans="1:23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37">
        <f>SUM(V16:V23)</f>
        <v>609205.86000000022</v>
      </c>
      <c r="W24" s="37">
        <f>SUM(W16:W23)</f>
        <v>18668.07</v>
      </c>
    </row>
    <row r="25" spans="1:23" s="17" customFormat="1" ht="15.75" hidden="1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3" s="17" customFormat="1" ht="15.75" hidden="1">
      <c r="A26" s="4"/>
      <c r="C26" s="90" t="s">
        <v>413</v>
      </c>
      <c r="D26" s="90"/>
      <c r="E26" s="90"/>
      <c r="F26" s="90"/>
      <c r="G26" s="90"/>
      <c r="H26" s="90"/>
      <c r="I26" s="90"/>
      <c r="J26" s="90"/>
      <c r="K26" s="90"/>
      <c r="L26" s="4"/>
      <c r="P26" s="62"/>
    </row>
    <row r="27" spans="1:23" s="62" customFormat="1" ht="21.75" hidden="1" customHeight="1">
      <c r="A27" s="111"/>
      <c r="C27" s="15" t="s">
        <v>423</v>
      </c>
      <c r="D27" s="15"/>
      <c r="E27" s="15"/>
      <c r="F27" s="15"/>
      <c r="G27" s="15"/>
      <c r="H27" s="15"/>
      <c r="I27" s="15"/>
      <c r="J27" s="15"/>
      <c r="K27" s="15"/>
    </row>
    <row r="28" spans="1:23" s="17" customFormat="1" ht="15.75" hidden="1">
      <c r="A28" s="4"/>
      <c r="C28" s="13" t="s">
        <v>414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3" s="17" customFormat="1" ht="15.75" hidden="1">
      <c r="A29" s="4"/>
      <c r="C29" s="13" t="s">
        <v>415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3" s="17" customFormat="1" ht="15.75" hidden="1">
      <c r="A30" s="4"/>
      <c r="C30" s="13" t="s">
        <v>416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3" s="17" customFormat="1" ht="15.75" hidden="1">
      <c r="A31" s="4"/>
      <c r="C31" s="13" t="s">
        <v>417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3" s="17" customFormat="1" ht="15.75" hidden="1">
      <c r="A32" s="4"/>
      <c r="C32" s="13" t="s">
        <v>418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 hidden="1">
      <c r="A33" s="4"/>
      <c r="C33" s="13" t="s">
        <v>419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 hidden="1">
      <c r="A34" s="4"/>
      <c r="C34" s="13" t="s">
        <v>420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 hidden="1">
      <c r="A35" s="4"/>
      <c r="C35" s="13" t="s">
        <v>421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15.75" hidden="1">
      <c r="A36" s="4"/>
      <c r="C36" s="13" t="s">
        <v>422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5.75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>
      <c r="A39" s="4" t="s">
        <v>425</v>
      </c>
      <c r="P39" s="62"/>
    </row>
    <row r="40" spans="1:16" s="17" customFormat="1" ht="15.75">
      <c r="A40" s="4" t="s">
        <v>59</v>
      </c>
      <c r="P40" s="62"/>
    </row>
    <row r="41" spans="1:16" s="17" customFormat="1" ht="15.75">
      <c r="A41" s="4"/>
      <c r="P41" s="62"/>
    </row>
    <row r="42" spans="1:16">
      <c r="A42" s="2" t="s">
        <v>48</v>
      </c>
    </row>
  </sheetData>
  <autoFilter ref="A15:W23"/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7"/>
  <sheetViews>
    <sheetView topLeftCell="A2" zoomScaleNormal="100" workbookViewId="0">
      <selection activeCell="O22" sqref="O22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376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9312.5</v>
      </c>
      <c r="G16" s="32">
        <v>5.3</v>
      </c>
      <c r="H16" s="33">
        <f>'УК 3кв. 2022г.'!H16-'УК 3кв. 2022г.'!I16+V16+W16+X16</f>
        <v>376070.98999999993</v>
      </c>
      <c r="I16" s="33">
        <v>143043.44</v>
      </c>
      <c r="J16" s="33">
        <f>'УК 3кв. 2022г.'!J16+'УК 4 кв. 2022г.'!V16+'УК 4 кв. 2022г.'!W16</f>
        <v>4984470.6399999987</v>
      </c>
      <c r="K16" s="33">
        <f>'УК 3кв. 2022г.'!K16+'УК 4 кв. 2022г.'!I16</f>
        <v>4832219.78</v>
      </c>
      <c r="L16" s="64"/>
      <c r="M16" s="47"/>
      <c r="N16" s="33">
        <f>'УК 3кв. 2022г.'!N16</f>
        <v>894970.86</v>
      </c>
      <c r="O16" s="33">
        <f>K16-N16</f>
        <v>3937248.9200000004</v>
      </c>
      <c r="P16" s="110">
        <f>K16/J16*100</f>
        <v>96.94549590124582</v>
      </c>
      <c r="R16" s="19">
        <f>J16-K16</f>
        <v>152250.85999999847</v>
      </c>
      <c r="S16" s="19">
        <f>H16-I16</f>
        <v>233027.54999999993</v>
      </c>
      <c r="V16" s="15">
        <f>150037.34-45.59</f>
        <v>149991.75</v>
      </c>
    </row>
    <row r="17" spans="1:23" s="15" customFormat="1" ht="48.7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2" t="s">
        <v>58</v>
      </c>
      <c r="G17" s="32">
        <v>7.32</v>
      </c>
      <c r="H17" s="33">
        <f>'УК 3кв. 2022г.'!H17-'УК 3кв. 2022г.'!I17+V17+W17+X17</f>
        <v>135441.03000000003</v>
      </c>
      <c r="I17" s="33">
        <v>73544.289999999994</v>
      </c>
      <c r="J17" s="33">
        <f>'УК 3кв. 2022г.'!J17+'УК 4 кв. 2022г.'!V17+'УК 4 кв. 2022г.'!W17</f>
        <v>1501172.8700000003</v>
      </c>
      <c r="K17" s="33">
        <f>'УК 3кв. 2022г.'!K17+'УК 4 кв. 2022г.'!I17</f>
        <v>1439276.1300000001</v>
      </c>
      <c r="L17" s="32"/>
      <c r="M17" s="32"/>
      <c r="N17" s="33">
        <f>'УК 3кв. 2022г.'!N17</f>
        <v>0</v>
      </c>
      <c r="O17" s="33">
        <f>K17-N17</f>
        <v>1439276.1300000001</v>
      </c>
      <c r="P17" s="110">
        <f t="shared" ref="P17:P25" si="0">K17/J17*100</f>
        <v>95.876774671527315</v>
      </c>
      <c r="R17" s="19">
        <f>J17-K17</f>
        <v>61896.740000000224</v>
      </c>
      <c r="S17" s="19">
        <f>H17-I17</f>
        <v>61896.740000000034</v>
      </c>
      <c r="V17" s="114">
        <v>69159.66</v>
      </c>
    </row>
    <row r="18" spans="1:23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7.32</v>
      </c>
      <c r="H18" s="33">
        <f>'УК 3кв. 2022г.'!H18-'УК 3кв. 2022г.'!I18+V18+W18+X18</f>
        <v>513763.11999999994</v>
      </c>
      <c r="I18" s="33">
        <v>51423.16</v>
      </c>
      <c r="J18" s="33">
        <f>'УК 3кв. 2022г.'!J18+'УК 4 кв. 2022г.'!V18+'УК 4 кв. 2022г.'!W18</f>
        <v>1864541.2200000002</v>
      </c>
      <c r="K18" s="33">
        <f>'УК 3кв. 2022г.'!K18+'УК 4 кв. 2022г.'!I18</f>
        <v>1402201.2599999998</v>
      </c>
      <c r="L18" s="34"/>
      <c r="M18" s="89"/>
      <c r="N18" s="33">
        <f>'УК 3кв. 2022г.'!N18+N19+N20</f>
        <v>365967</v>
      </c>
      <c r="O18" s="33">
        <f>K18-N18</f>
        <v>1036234.2599999998</v>
      </c>
      <c r="P18" s="110">
        <f t="shared" si="0"/>
        <v>75.203553826501064</v>
      </c>
      <c r="R18" s="19">
        <f>J18-K18</f>
        <v>462339.96000000043</v>
      </c>
      <c r="S18" s="19">
        <f>H18-I18</f>
        <v>462339.95999999996</v>
      </c>
      <c r="V18" s="114">
        <v>62268.58</v>
      </c>
    </row>
    <row r="19" spans="1:23" s="15" customFormat="1" ht="41.25" customHeight="1">
      <c r="A19" s="32"/>
      <c r="B19" s="32"/>
      <c r="C19" s="32"/>
      <c r="D19" s="32"/>
      <c r="E19" s="32"/>
      <c r="F19" s="33"/>
      <c r="G19" s="32"/>
      <c r="H19" s="33"/>
      <c r="I19" s="33"/>
      <c r="J19" s="33"/>
      <c r="K19" s="33"/>
      <c r="L19" s="94" t="s">
        <v>379</v>
      </c>
      <c r="M19" s="116" t="s">
        <v>380</v>
      </c>
      <c r="N19" s="33">
        <v>52500</v>
      </c>
      <c r="O19" s="105"/>
      <c r="P19" s="102"/>
      <c r="Q19" s="101"/>
      <c r="R19" s="19"/>
      <c r="S19" s="19"/>
    </row>
    <row r="20" spans="1:23" s="15" customFormat="1" ht="34.5" customHeight="1">
      <c r="A20" s="32"/>
      <c r="B20" s="32"/>
      <c r="C20" s="32"/>
      <c r="D20" s="32"/>
      <c r="E20" s="32"/>
      <c r="F20" s="33"/>
      <c r="G20" s="32"/>
      <c r="H20" s="33"/>
      <c r="I20" s="33"/>
      <c r="J20" s="33"/>
      <c r="K20" s="33"/>
      <c r="L20" s="94" t="s">
        <v>381</v>
      </c>
      <c r="M20" s="47" t="s">
        <v>368</v>
      </c>
      <c r="N20" s="33">
        <v>98000</v>
      </c>
      <c r="O20" s="105"/>
      <c r="P20" s="102"/>
      <c r="Q20" s="101"/>
      <c r="R20" s="19"/>
      <c r="S20" s="19"/>
    </row>
    <row r="21" spans="1:23" s="15" customFormat="1" ht="33" customHeight="1">
      <c r="A21" s="32">
        <v>1</v>
      </c>
      <c r="B21" s="32" t="s">
        <v>28</v>
      </c>
      <c r="C21" s="103" t="s">
        <v>408</v>
      </c>
      <c r="D21" s="32">
        <v>2012</v>
      </c>
      <c r="E21" s="32"/>
      <c r="F21" s="33">
        <v>2729.9</v>
      </c>
      <c r="G21" s="32">
        <v>7.32</v>
      </c>
      <c r="H21" s="33">
        <f>'УК 3кв. 2022г.'!H21-'УК 3кв. 2022г.'!I21+V21+W21+X21</f>
        <v>293955.11999999994</v>
      </c>
      <c r="I21" s="33">
        <v>49305.43</v>
      </c>
      <c r="J21" s="33">
        <f>'УК 3кв. 2022г.'!J21+'УК 4 кв. 2022г.'!V21+'УК 4 кв. 2022г.'!W21</f>
        <v>2064079.9100000004</v>
      </c>
      <c r="K21" s="33">
        <f>'УК 3кв. 2022г.'!K21+'УК 4 кв. 2022г.'!I21</f>
        <v>1819430.22</v>
      </c>
      <c r="L21" s="43"/>
      <c r="M21" s="91"/>
      <c r="N21" s="33">
        <f>'УК 3кв. 2022г.'!N21+N22+N23</f>
        <v>755760.4</v>
      </c>
      <c r="O21" s="33">
        <f t="shared" ref="O21:O27" si="1">K21-N21</f>
        <v>1063669.8199999998</v>
      </c>
      <c r="P21" s="120">
        <f t="shared" si="0"/>
        <v>88.147276236025164</v>
      </c>
      <c r="R21" s="19">
        <f>J21-K21</f>
        <v>244649.69000000041</v>
      </c>
      <c r="S21" s="19">
        <f t="shared" ref="S21:S25" si="2">H21-I21</f>
        <v>244649.68999999994</v>
      </c>
      <c r="U21" s="19"/>
      <c r="V21" s="114">
        <v>63889.120000000003</v>
      </c>
    </row>
    <row r="22" spans="1:23" s="15" customFormat="1" ht="42.75" customHeight="1">
      <c r="A22" s="32"/>
      <c r="B22" s="32"/>
      <c r="C22" s="103"/>
      <c r="D22" s="32"/>
      <c r="E22" s="32"/>
      <c r="F22" s="33"/>
      <c r="G22" s="32"/>
      <c r="H22" s="33"/>
      <c r="I22" s="33"/>
      <c r="J22" s="33"/>
      <c r="K22" s="33"/>
      <c r="L22" s="94" t="s">
        <v>386</v>
      </c>
      <c r="M22" s="116" t="s">
        <v>385</v>
      </c>
      <c r="N22" s="33">
        <f>22500+52500</f>
        <v>75000</v>
      </c>
      <c r="O22" s="33"/>
      <c r="P22" s="120"/>
      <c r="R22" s="19"/>
      <c r="S22" s="19"/>
      <c r="U22" s="19"/>
      <c r="V22" s="114"/>
    </row>
    <row r="23" spans="1:23" s="15" customFormat="1" ht="42.75" customHeight="1">
      <c r="A23" s="32"/>
      <c r="B23" s="32"/>
      <c r="C23" s="103"/>
      <c r="D23" s="32"/>
      <c r="E23" s="32"/>
      <c r="F23" s="33"/>
      <c r="G23" s="32"/>
      <c r="H23" s="33"/>
      <c r="I23" s="33"/>
      <c r="J23" s="33"/>
      <c r="K23" s="33"/>
      <c r="L23" s="94" t="s">
        <v>384</v>
      </c>
      <c r="M23" s="47" t="s">
        <v>382</v>
      </c>
      <c r="N23" s="33">
        <v>576320</v>
      </c>
      <c r="O23" s="33"/>
      <c r="P23" s="120"/>
      <c r="R23" s="19"/>
      <c r="S23" s="19"/>
      <c r="U23" s="19"/>
      <c r="V23" s="114"/>
    </row>
    <row r="24" spans="1:23" ht="35.25" customHeight="1">
      <c r="A24" s="32">
        <v>1</v>
      </c>
      <c r="B24" s="32" t="s">
        <v>28</v>
      </c>
      <c r="C24" s="103" t="s">
        <v>409</v>
      </c>
      <c r="D24" s="32">
        <v>2007</v>
      </c>
      <c r="E24" s="32"/>
      <c r="F24" s="33">
        <v>2918.7</v>
      </c>
      <c r="G24" s="32">
        <v>7.32</v>
      </c>
      <c r="H24" s="33">
        <f>'УК 2кв. 2022г.'!H20-'УК 2кв. 2022г.'!I20+V24+W24+X24</f>
        <v>55485.519999999968</v>
      </c>
      <c r="I24" s="33">
        <v>60950.65</v>
      </c>
      <c r="J24" s="33">
        <f>'УК 3кв. 2022г.'!J22+'УК 4 кв. 2022г.'!V24+'УК 4 кв. 2022г.'!W24</f>
        <v>2195338.2400000002</v>
      </c>
      <c r="K24" s="33">
        <f>'УК 3кв. 2022г.'!K22+'УК 4 кв. 2022г.'!I24</f>
        <v>1947466.8400000003</v>
      </c>
      <c r="L24" s="32"/>
      <c r="M24" s="32"/>
      <c r="N24" s="33">
        <f>'УК 3кв. 2022г.'!N22</f>
        <v>650595</v>
      </c>
      <c r="O24" s="33">
        <f t="shared" si="1"/>
        <v>1296871.8400000003</v>
      </c>
      <c r="P24" s="120">
        <f t="shared" si="0"/>
        <v>88.709193167427358</v>
      </c>
      <c r="R24" s="19">
        <f>J24-K24</f>
        <v>247871.39999999991</v>
      </c>
      <c r="S24" s="19">
        <f t="shared" si="2"/>
        <v>-5465.1300000000338</v>
      </c>
      <c r="V24" s="115">
        <v>68304.429999999993</v>
      </c>
    </row>
    <row r="25" spans="1:23" ht="35.25" customHeight="1">
      <c r="A25" s="32">
        <v>1</v>
      </c>
      <c r="B25" s="32" t="s">
        <v>28</v>
      </c>
      <c r="C25" s="103" t="s">
        <v>410</v>
      </c>
      <c r="D25" s="32">
        <v>2018</v>
      </c>
      <c r="E25" s="32"/>
      <c r="F25" s="33">
        <v>4764.6000000000004</v>
      </c>
      <c r="G25" s="32">
        <v>7.32</v>
      </c>
      <c r="H25" s="33">
        <f>'УК 2кв. 2022г.'!H21-'УК 2кв. 2022г.'!I21+V25+W25+X25</f>
        <v>258915.37000000005</v>
      </c>
      <c r="I25" s="33">
        <v>99334.14</v>
      </c>
      <c r="J25" s="33">
        <f>'УК 3кв. 2022г.'!J23+'УК 4 кв. 2022г.'!V25+'УК 4 кв. 2022г.'!W25</f>
        <v>956293.81000000017</v>
      </c>
      <c r="K25" s="33">
        <f>'УК 3кв. 2022г.'!K23+'УК 4 кв. 2022г.'!I25</f>
        <v>786015.63</v>
      </c>
      <c r="L25" s="32"/>
      <c r="M25" s="32"/>
      <c r="N25" s="33">
        <f>'УК 3кв. 2022г.'!N23</f>
        <v>0</v>
      </c>
      <c r="O25" s="33">
        <f t="shared" si="1"/>
        <v>786015.63</v>
      </c>
      <c r="P25" s="120">
        <f t="shared" si="0"/>
        <v>82.193947276517449</v>
      </c>
      <c r="R25" s="19">
        <f t="shared" ref="R25:R27" si="3">J25-K25</f>
        <v>170278.18000000017</v>
      </c>
      <c r="S25" s="19">
        <f t="shared" si="2"/>
        <v>159581.23000000004</v>
      </c>
      <c r="V25" s="115">
        <v>107242.99</v>
      </c>
    </row>
    <row r="26" spans="1:23" ht="35.25" customHeight="1">
      <c r="A26" s="32">
        <v>1</v>
      </c>
      <c r="B26" s="32" t="s">
        <v>28</v>
      </c>
      <c r="C26" s="103" t="s">
        <v>411</v>
      </c>
      <c r="D26" s="32">
        <v>2007</v>
      </c>
      <c r="E26" s="32"/>
      <c r="F26" s="33">
        <v>1202.9000000000001</v>
      </c>
      <c r="G26" s="32">
        <v>5.3</v>
      </c>
      <c r="H26" s="33">
        <f>'УК 2кв. 2022г.'!H22-'УК 2кв. 2022г.'!I22+V26+W26+X26</f>
        <v>153287.87</v>
      </c>
      <c r="I26" s="33">
        <v>24426.95</v>
      </c>
      <c r="J26" s="33">
        <f>'УК 3кв. 2022г.'!J24+'УК 4 кв. 2022г.'!V26+'УК 4 кв. 2022г.'!W26</f>
        <v>618275.12</v>
      </c>
      <c r="K26" s="33">
        <f>'УК 3кв. 2022г.'!K24+'УК 4 кв. 2022г.'!I26</f>
        <v>503045.05000000005</v>
      </c>
      <c r="L26" s="32"/>
      <c r="M26" s="32"/>
      <c r="N26" s="33">
        <f>'УК 3кв. 2022г.'!N24</f>
        <v>0</v>
      </c>
      <c r="O26" s="33">
        <f>K26-N26</f>
        <v>503045.05000000005</v>
      </c>
      <c r="P26" s="120">
        <f>K26/J26*100</f>
        <v>81.362654541234008</v>
      </c>
      <c r="R26" s="19">
        <f t="shared" si="3"/>
        <v>115230.06999999995</v>
      </c>
      <c r="S26" s="19"/>
      <c r="V26" s="115">
        <v>20829.05</v>
      </c>
    </row>
    <row r="27" spans="1:23" ht="35.25" customHeight="1">
      <c r="A27" s="32">
        <v>1</v>
      </c>
      <c r="B27" s="32" t="s">
        <v>28</v>
      </c>
      <c r="C27" s="103" t="s">
        <v>412</v>
      </c>
      <c r="D27" s="32">
        <v>2006</v>
      </c>
      <c r="E27" s="32"/>
      <c r="F27" s="33">
        <v>1201.8</v>
      </c>
      <c r="G27" s="32">
        <v>5.3</v>
      </c>
      <c r="H27" s="33">
        <f>'УК 2кв. 2022г.'!H23-'УК 2кв. 2022г.'!I23+V27+W27+X27</f>
        <v>185269.55999999997</v>
      </c>
      <c r="I27" s="33">
        <v>47029.85</v>
      </c>
      <c r="J27" s="33">
        <f>'УК 3кв. 2022г.'!J25+'УК 4 кв. 2022г.'!V27+'УК 4 кв. 2022г.'!W27</f>
        <v>554975.57999999996</v>
      </c>
      <c r="K27" s="33">
        <f>'УК 3кв. 2022г.'!K25+'УК 4 кв. 2022г.'!I27</f>
        <v>406040.54999999993</v>
      </c>
      <c r="L27" s="32"/>
      <c r="M27" s="32"/>
      <c r="N27" s="33">
        <f>'УК 3кв. 2022г.'!N25+N28</f>
        <v>369062</v>
      </c>
      <c r="O27" s="33">
        <f t="shared" si="1"/>
        <v>36978.54999999993</v>
      </c>
      <c r="P27" s="120">
        <f>K27/J27*100</f>
        <v>73.163678661320546</v>
      </c>
      <c r="R27" s="19">
        <f t="shared" si="3"/>
        <v>148935.03000000003</v>
      </c>
      <c r="S27" s="19"/>
      <c r="V27" s="115">
        <v>21827.52</v>
      </c>
    </row>
    <row r="28" spans="1:23" s="15" customFormat="1" ht="35.25" customHeight="1">
      <c r="A28" s="32"/>
      <c r="B28" s="32"/>
      <c r="C28" s="32"/>
      <c r="D28" s="32"/>
      <c r="E28" s="32"/>
      <c r="F28" s="33"/>
      <c r="G28" s="32"/>
      <c r="H28" s="33"/>
      <c r="I28" s="33"/>
      <c r="J28" s="33"/>
      <c r="K28" s="33"/>
      <c r="L28" s="94" t="s">
        <v>378</v>
      </c>
      <c r="M28" s="47" t="s">
        <v>383</v>
      </c>
      <c r="N28" s="33">
        <v>19071.95</v>
      </c>
      <c r="O28" s="105"/>
      <c r="P28" s="101"/>
      <c r="Q28" s="101"/>
      <c r="R28" s="19"/>
      <c r="S28" s="19"/>
    </row>
    <row r="29" spans="1:23">
      <c r="A29" s="67"/>
      <c r="B29" s="67"/>
      <c r="C29" s="67"/>
      <c r="D29" s="67"/>
      <c r="E29" s="67"/>
      <c r="F29" s="68"/>
      <c r="G29" s="67"/>
      <c r="H29" s="68"/>
      <c r="I29" s="68"/>
      <c r="J29" s="68"/>
      <c r="K29" s="68"/>
      <c r="L29" s="67"/>
      <c r="M29" s="67"/>
      <c r="N29" s="67"/>
      <c r="O29" s="68"/>
      <c r="P29" s="63"/>
      <c r="V29" s="13">
        <f>SUM(V16:V27)</f>
        <v>563513.1</v>
      </c>
      <c r="W29" s="13">
        <f>SUM(W16:W27)</f>
        <v>0</v>
      </c>
    </row>
    <row r="30" spans="1:23" s="17" customFormat="1" ht="15.75" hidden="1">
      <c r="A30" s="4" t="s">
        <v>64</v>
      </c>
      <c r="C30" s="90"/>
      <c r="D30" s="90"/>
      <c r="E30" s="90"/>
      <c r="F30" s="90"/>
      <c r="G30" s="90"/>
      <c r="H30" s="90"/>
      <c r="I30" s="90"/>
      <c r="J30" s="90"/>
      <c r="K30" s="90"/>
      <c r="L30" s="4"/>
      <c r="P30" s="62"/>
    </row>
    <row r="31" spans="1:23" s="17" customFormat="1" ht="15.75" hidden="1">
      <c r="A31" s="4"/>
      <c r="C31" s="90" t="s">
        <v>413</v>
      </c>
      <c r="D31" s="90"/>
      <c r="E31" s="90"/>
      <c r="F31" s="90"/>
      <c r="G31" s="90"/>
      <c r="H31" s="90"/>
      <c r="I31" s="90"/>
      <c r="J31" s="90"/>
      <c r="K31" s="90"/>
      <c r="L31" s="4"/>
      <c r="P31" s="62"/>
    </row>
    <row r="32" spans="1:23" s="62" customFormat="1" ht="21.75" hidden="1" customHeight="1">
      <c r="A32" s="111"/>
      <c r="C32" s="15" t="s">
        <v>423</v>
      </c>
      <c r="D32" s="15"/>
      <c r="E32" s="15"/>
      <c r="F32" s="15"/>
      <c r="G32" s="15"/>
      <c r="H32" s="15"/>
      <c r="I32" s="15"/>
      <c r="J32" s="15"/>
      <c r="K32" s="15"/>
    </row>
    <row r="33" spans="1:16" s="17" customFormat="1" ht="15.75" hidden="1">
      <c r="A33" s="4"/>
      <c r="C33" s="13" t="s">
        <v>414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 hidden="1">
      <c r="A34" s="4"/>
      <c r="C34" s="13" t="s">
        <v>415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 hidden="1">
      <c r="A35" s="4"/>
      <c r="C35" s="13" t="s">
        <v>416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15.75" hidden="1">
      <c r="A36" s="4"/>
      <c r="C36" s="13" t="s">
        <v>417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5.75" hidden="1">
      <c r="A37" s="4"/>
      <c r="C37" s="13" t="s">
        <v>418</v>
      </c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 hidden="1">
      <c r="A38" s="4"/>
      <c r="C38" s="13" t="s">
        <v>419</v>
      </c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 hidden="1">
      <c r="A39" s="4"/>
      <c r="C39" s="13" t="s">
        <v>420</v>
      </c>
      <c r="D39" s="13"/>
      <c r="E39" s="13"/>
      <c r="F39" s="13"/>
      <c r="G39" s="13"/>
      <c r="H39" s="13"/>
      <c r="I39" s="13"/>
      <c r="J39" s="13"/>
      <c r="K39" s="13"/>
      <c r="P39" s="62"/>
    </row>
    <row r="40" spans="1:16" s="17" customFormat="1" ht="15.75" hidden="1">
      <c r="A40" s="4"/>
      <c r="C40" s="13" t="s">
        <v>421</v>
      </c>
      <c r="D40" s="13"/>
      <c r="E40" s="13"/>
      <c r="F40" s="13"/>
      <c r="G40" s="13"/>
      <c r="H40" s="13"/>
      <c r="I40" s="13"/>
      <c r="J40" s="13"/>
      <c r="K40" s="13"/>
      <c r="P40" s="62"/>
    </row>
    <row r="41" spans="1:16" s="17" customFormat="1" ht="15.75" hidden="1">
      <c r="A41" s="4"/>
      <c r="C41" s="13" t="s">
        <v>422</v>
      </c>
      <c r="D41" s="13"/>
      <c r="E41" s="13"/>
      <c r="F41" s="13"/>
      <c r="G41" s="13"/>
      <c r="H41" s="13"/>
      <c r="I41" s="13"/>
      <c r="J41" s="13"/>
      <c r="K41" s="13"/>
      <c r="P41" s="62"/>
    </row>
    <row r="42" spans="1:16" s="17" customFormat="1" ht="15.75">
      <c r="A42" s="4"/>
      <c r="C42" s="13"/>
      <c r="D42" s="13"/>
      <c r="E42" s="13"/>
      <c r="F42" s="13"/>
      <c r="G42" s="13"/>
      <c r="H42" s="13"/>
      <c r="I42" s="13"/>
      <c r="J42" s="13"/>
      <c r="K42" s="13"/>
      <c r="P42" s="62"/>
    </row>
    <row r="43" spans="1:16" s="17" customFormat="1" ht="15.75">
      <c r="A43" s="4"/>
      <c r="C43" s="13"/>
      <c r="D43" s="13"/>
      <c r="E43" s="13"/>
      <c r="F43" s="13"/>
      <c r="G43" s="13"/>
      <c r="H43" s="13"/>
      <c r="I43" s="13"/>
      <c r="J43" s="13"/>
      <c r="K43" s="13"/>
      <c r="P43" s="62"/>
    </row>
    <row r="44" spans="1:16" s="17" customFormat="1" ht="15.75">
      <c r="A44" s="4" t="s">
        <v>377</v>
      </c>
      <c r="P44" s="62"/>
    </row>
    <row r="45" spans="1:16" s="17" customFormat="1" ht="15.75">
      <c r="A45" s="4" t="s">
        <v>59</v>
      </c>
      <c r="P45" s="62"/>
    </row>
    <row r="46" spans="1:16" s="17" customFormat="1" ht="15.75">
      <c r="A46" s="4"/>
      <c r="P46" s="62"/>
    </row>
    <row r="47" spans="1:16">
      <c r="A47" s="2" t="s">
        <v>48</v>
      </c>
    </row>
  </sheetData>
  <autoFilter ref="A15:W28"/>
  <mergeCells count="25"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</mergeCells>
  <pageMargins left="0.78740157480314965" right="0.39370078740157483" top="0.39370078740157483" bottom="0.35433070866141736" header="0.31496062992125984" footer="0.31496062992125984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4"/>
  <sheetViews>
    <sheetView topLeftCell="A4" workbookViewId="0">
      <selection activeCell="O22" sqref="O22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5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5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5" s="13" customFormat="1" ht="15.75">
      <c r="A3" s="187" t="str">
        <f>'УК 4 кв. 2022г.'!A4:O4</f>
        <v xml:space="preserve">по состоянию за 4 квартал 2022 года на 01 января 2023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5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5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5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5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5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5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5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5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5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5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230</v>
      </c>
      <c r="Y13" s="38" t="s">
        <v>388</v>
      </c>
    </row>
    <row r="14" spans="1:25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5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4750.7</v>
      </c>
      <c r="G15" s="32">
        <v>5.3</v>
      </c>
      <c r="H15" s="33">
        <f>'ТСЖ 3 кв.2022г.'!H15-'ТСЖ 3 кв.2022г.'!I15+W15+V15</f>
        <v>398081.12000000011</v>
      </c>
      <c r="I15" s="33">
        <f>Y15+W15</f>
        <v>59464.86</v>
      </c>
      <c r="J15" s="33">
        <f>'ТСЖ 3 кв.2022г.'!J15+Y15+Z15+W15</f>
        <v>2535183.7700000005</v>
      </c>
      <c r="K15" s="33">
        <f>'ТСЖ 3 кв.2022г.'!K15+'ТСЖ 4 кв.2022г.'!I15</f>
        <v>2233073.8299999996</v>
      </c>
      <c r="L15" s="43"/>
      <c r="M15" s="66"/>
      <c r="N15" s="33">
        <f>'ТСЖ 3 кв.2022г.'!N15</f>
        <v>426357.21</v>
      </c>
      <c r="O15" s="105">
        <f>K15-N15</f>
        <v>1806716.6199999996</v>
      </c>
      <c r="P15" s="74">
        <v>520817.08</v>
      </c>
      <c r="Q15" s="46">
        <f>K15/J15*100</f>
        <v>88.083312003847325</v>
      </c>
      <c r="S15" s="48">
        <f>J15-K15+16536.37</f>
        <v>318646.31000000087</v>
      </c>
      <c r="T15" s="48">
        <f>H15-I15</f>
        <v>338616.26000000013</v>
      </c>
      <c r="V15" s="48">
        <v>80527.47</v>
      </c>
      <c r="W15" s="49">
        <v>2194.7800000000002</v>
      </c>
      <c r="Y15" s="49">
        <v>57270.080000000002</v>
      </c>
    </row>
    <row r="16" spans="1:25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5.3</v>
      </c>
      <c r="H16" s="33">
        <f>'ТСЖ 3 кв.2022г.'!H16-'ТСЖ 3 кв.2022г.'!I16+W16+V16</f>
        <v>110888.69999999998</v>
      </c>
      <c r="I16" s="33">
        <f t="shared" ref="I16:I29" si="0">Y16+W16</f>
        <v>33091.58</v>
      </c>
      <c r="J16" s="33">
        <f>'ТСЖ 3 кв.2022г.'!J16+Y16+Z16+W16</f>
        <v>1022798.7000000003</v>
      </c>
      <c r="K16" s="33">
        <f>'ТСЖ 3 кв.2022г.'!K16+'ТСЖ 4 кв.2022г.'!I16</f>
        <v>944616.45000000019</v>
      </c>
      <c r="L16" s="43"/>
      <c r="M16" s="66"/>
      <c r="N16" s="33">
        <f>'ТСЖ 3 кв.2022г.'!N16</f>
        <v>221688.82</v>
      </c>
      <c r="O16" s="105">
        <f t="shared" ref="O16:O29" si="1">K16-N16</f>
        <v>722927.63000000012</v>
      </c>
      <c r="P16" s="78">
        <v>264064.82</v>
      </c>
      <c r="Q16" s="46">
        <f>K16/J16*100</f>
        <v>92.356047186997785</v>
      </c>
      <c r="S16" s="48">
        <f t="shared" ref="S16:S29" si="2">J16-K16+W16</f>
        <v>78182.250000000116</v>
      </c>
      <c r="T16" s="48">
        <f t="shared" ref="T16:T29" si="3">H16-I16</f>
        <v>77797.119999999981</v>
      </c>
      <c r="V16" s="48">
        <v>31744.5</v>
      </c>
      <c r="Y16" s="49">
        <v>33091.58</v>
      </c>
    </row>
    <row r="17" spans="1:26" s="49" customFormat="1" ht="39.75" customHeight="1">
      <c r="A17" s="32">
        <v>1</v>
      </c>
      <c r="B17" s="60" t="s">
        <v>28</v>
      </c>
      <c r="C17" s="60" t="s">
        <v>402</v>
      </c>
      <c r="D17" s="60">
        <v>2002</v>
      </c>
      <c r="E17" s="60"/>
      <c r="F17" s="61">
        <v>1947.3</v>
      </c>
      <c r="G17" s="60">
        <v>5.3</v>
      </c>
      <c r="H17" s="33">
        <f>'ТСЖ 3 кв.2022г.'!H17-'ТСЖ 3 кв.2022г.'!I17+W17+V17</f>
        <v>173558.93000000005</v>
      </c>
      <c r="I17" s="33">
        <f t="shared" si="0"/>
        <v>54063</v>
      </c>
      <c r="J17" s="33">
        <f>'ТСЖ 3 кв.2022г.'!J17+Y17+Z17+W17</f>
        <v>1072475.5699999994</v>
      </c>
      <c r="K17" s="33">
        <f>'ТСЖ 3 кв.2022г.'!K17+'ТСЖ 4 кв.2022г.'!I17</f>
        <v>933401.5</v>
      </c>
      <c r="L17" s="72"/>
      <c r="M17" s="73"/>
      <c r="N17" s="33">
        <f>'ТСЖ 3 кв.2022г.'!N17</f>
        <v>476040</v>
      </c>
      <c r="O17" s="105">
        <f t="shared" si="1"/>
        <v>457361.5</v>
      </c>
      <c r="P17" s="74">
        <v>253163.82</v>
      </c>
      <c r="Q17" s="65">
        <f>K17/J17*100</f>
        <v>87.032425363311589</v>
      </c>
      <c r="S17" s="48">
        <f t="shared" si="2"/>
        <v>139074.06999999937</v>
      </c>
      <c r="T17" s="48">
        <f t="shared" si="3"/>
        <v>119495.93000000005</v>
      </c>
      <c r="V17" s="48">
        <v>32747.82</v>
      </c>
      <c r="Y17" s="49">
        <v>54063</v>
      </c>
    </row>
    <row r="18" spans="1:26" s="49" customFormat="1" ht="63.75" customHeight="1" thickBot="1">
      <c r="A18" s="32">
        <v>1</v>
      </c>
      <c r="B18" s="60" t="s">
        <v>28</v>
      </c>
      <c r="C18" s="60" t="s">
        <v>403</v>
      </c>
      <c r="D18" s="60">
        <v>2003</v>
      </c>
      <c r="E18" s="60"/>
      <c r="F18" s="61">
        <v>2990</v>
      </c>
      <c r="G18" s="60">
        <v>5.3</v>
      </c>
      <c r="H18" s="33">
        <f>'ТСЖ 3 кв.2022г.'!H18-'ТСЖ 3 кв.2022г.'!I18+W18+V18</f>
        <v>219048.3300000001</v>
      </c>
      <c r="I18" s="33">
        <f t="shared" si="0"/>
        <v>63288.88</v>
      </c>
      <c r="J18" s="33">
        <f>'ТСЖ 3 кв.2022г.'!J18+Y18+Z18+W18</f>
        <v>1620115.9899999993</v>
      </c>
      <c r="K18" s="33">
        <f>'ТСЖ 3 кв.2022г.'!K18+'ТСЖ 4 кв.2022г.'!I18</f>
        <v>1452911.41</v>
      </c>
      <c r="L18" s="72"/>
      <c r="M18" s="73"/>
      <c r="N18" s="33">
        <f>'ТСЖ 3 кв.2022г.'!N18</f>
        <v>731630</v>
      </c>
      <c r="O18" s="105">
        <f t="shared" si="1"/>
        <v>721281.40999999992</v>
      </c>
      <c r="P18" s="44">
        <v>378042.71</v>
      </c>
      <c r="Q18" s="65">
        <f t="shared" ref="Q18:Q28" si="4">K18/J18*100</f>
        <v>89.679468566938866</v>
      </c>
      <c r="S18" s="48">
        <f t="shared" si="2"/>
        <v>167204.57999999938</v>
      </c>
      <c r="T18" s="48">
        <f t="shared" si="3"/>
        <v>155759.4500000001</v>
      </c>
      <c r="V18" s="48">
        <v>49224.04</v>
      </c>
      <c r="Y18" s="49">
        <v>63288.88</v>
      </c>
    </row>
    <row r="19" spans="1:26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5.3</v>
      </c>
      <c r="H19" s="33">
        <f>'ТСЖ 3 кв.2022г.'!H19-'ТСЖ 3 кв.2022г.'!I19+W19+V19</f>
        <v>156856.74</v>
      </c>
      <c r="I19" s="33">
        <f t="shared" si="0"/>
        <v>96535.19</v>
      </c>
      <c r="J19" s="33">
        <f>'ТСЖ 3 кв.2022г.'!J19+Y19+Z19+W19</f>
        <v>983583.93999999971</v>
      </c>
      <c r="K19" s="33">
        <f>'ТСЖ 3 кв.2022г.'!K19+'ТСЖ 4 кв.2022г.'!I19</f>
        <v>850133.58000000007</v>
      </c>
      <c r="L19" s="43"/>
      <c r="M19" s="66"/>
      <c r="N19" s="33">
        <f>'ТСЖ 3 кв.2022г.'!N19</f>
        <v>230810</v>
      </c>
      <c r="O19" s="105">
        <f t="shared" si="1"/>
        <v>619323.58000000007</v>
      </c>
      <c r="P19" s="44">
        <v>252978.03</v>
      </c>
      <c r="Q19" s="46">
        <f>K19/J19*100</f>
        <v>86.432234751616647</v>
      </c>
      <c r="S19" s="93">
        <f t="shared" si="2"/>
        <v>133450.35999999964</v>
      </c>
      <c r="T19" s="93">
        <f t="shared" si="3"/>
        <v>60321.549999999988</v>
      </c>
      <c r="V19" s="93">
        <f>28089.89-6009.56</f>
        <v>22080.329999999998</v>
      </c>
      <c r="Y19" s="92">
        <v>96535.19</v>
      </c>
    </row>
    <row r="20" spans="1:26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5.3</v>
      </c>
      <c r="H20" s="33">
        <f>'ТСЖ 3 кв.2022г.'!H20-'ТСЖ 3 кв.2022г.'!I20+W20+V20</f>
        <v>76310.659999999989</v>
      </c>
      <c r="I20" s="33">
        <f t="shared" si="0"/>
        <v>21623.73</v>
      </c>
      <c r="J20" s="33">
        <f>'ТСЖ 3 кв.2022г.'!J20+Y20+Z20+W20</f>
        <v>638220.43999999983</v>
      </c>
      <c r="K20" s="33">
        <f>'ТСЖ 3 кв.2022г.'!K20+'ТСЖ 4 кв.2022г.'!I20</f>
        <v>582109.18999999994</v>
      </c>
      <c r="L20" s="43"/>
      <c r="M20" s="66"/>
      <c r="N20" s="33">
        <f>'ТСЖ 3 кв.2022г.'!N20</f>
        <v>208003.99</v>
      </c>
      <c r="O20" s="121">
        <f t="shared" si="1"/>
        <v>374105.19999999995</v>
      </c>
      <c r="P20" s="74">
        <v>124839.69</v>
      </c>
      <c r="Q20" s="46">
        <f t="shared" si="4"/>
        <v>91.208170957357638</v>
      </c>
      <c r="S20" s="93">
        <f t="shared" si="2"/>
        <v>56111.249999999884</v>
      </c>
      <c r="T20" s="93">
        <f t="shared" si="3"/>
        <v>54686.929999999993</v>
      </c>
      <c r="V20" s="93">
        <v>19456.59</v>
      </c>
      <c r="Y20" s="92">
        <v>21623.73</v>
      </c>
    </row>
    <row r="21" spans="1:26" s="92" customFormat="1" ht="52.5" customHeight="1" thickBot="1">
      <c r="A21" s="32">
        <v>1</v>
      </c>
      <c r="B21" s="60" t="s">
        <v>28</v>
      </c>
      <c r="C21" s="60" t="s">
        <v>391</v>
      </c>
      <c r="D21" s="60">
        <v>2012</v>
      </c>
      <c r="E21" s="60"/>
      <c r="F21" s="61">
        <v>2427.8000000000002</v>
      </c>
      <c r="G21" s="60">
        <v>5.3</v>
      </c>
      <c r="H21" s="33">
        <f>'ТСЖ 3 кв.2022г.'!H21-'ТСЖ 3 кв.2022г.'!I21+W21+V21</f>
        <v>186498.29000000004</v>
      </c>
      <c r="I21" s="33">
        <f t="shared" si="0"/>
        <v>37624.79</v>
      </c>
      <c r="J21" s="33">
        <f>'ТСЖ 3 кв.2022г.'!J21+Y21+Z21+W21</f>
        <v>1291859.8500000001</v>
      </c>
      <c r="K21" s="33">
        <f>'ТСЖ 3 кв.2022г.'!K21+'ТСЖ 4 кв.2022г.'!I21</f>
        <v>1146830.6299999999</v>
      </c>
      <c r="L21" s="72"/>
      <c r="M21" s="61"/>
      <c r="N21" s="33">
        <f>'ТСЖ 3 кв.2022г.'!N21</f>
        <v>0</v>
      </c>
      <c r="O21" s="105">
        <f t="shared" si="1"/>
        <v>1146830.6299999999</v>
      </c>
      <c r="P21" s="44">
        <v>388089.32</v>
      </c>
      <c r="Q21" s="65">
        <f t="shared" si="4"/>
        <v>88.773610388154708</v>
      </c>
      <c r="S21" s="93">
        <f t="shared" si="2"/>
        <v>145029.2200000002</v>
      </c>
      <c r="T21" s="93">
        <f t="shared" si="3"/>
        <v>148873.50000000003</v>
      </c>
      <c r="V21" s="92">
        <v>40254.51</v>
      </c>
      <c r="Y21" s="92">
        <v>37624.79</v>
      </c>
    </row>
    <row r="22" spans="1:26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5.3</v>
      </c>
      <c r="H22" s="33">
        <f>'ТСЖ 3 кв.2022г.'!H22-'ТСЖ 3 кв.2022г.'!I22+W22+V22</f>
        <v>108395.44000000002</v>
      </c>
      <c r="I22" s="33">
        <f t="shared" si="0"/>
        <v>35807.51</v>
      </c>
      <c r="J22" s="33">
        <f>'ТСЖ 3 кв.2022г.'!J22+Y22+Z22+W22</f>
        <v>1113700.5200000003</v>
      </c>
      <c r="K22" s="33">
        <f>'ТСЖ 3 кв.2022г.'!K22+'ТСЖ 4 кв.2022г.'!I22</f>
        <v>1040847.2600000001</v>
      </c>
      <c r="L22" s="43"/>
      <c r="M22" s="66"/>
      <c r="N22" s="33">
        <f>'ТСЖ 3 кв.2022г.'!N22</f>
        <v>454457.47</v>
      </c>
      <c r="O22" s="105">
        <f t="shared" si="1"/>
        <v>586389.79000000015</v>
      </c>
      <c r="P22" s="74">
        <v>223464.31</v>
      </c>
      <c r="Q22" s="46">
        <f>K22/J22*100</f>
        <v>93.458451469520725</v>
      </c>
      <c r="S22" s="93">
        <f t="shared" si="2"/>
        <v>72853.260000000126</v>
      </c>
      <c r="T22" s="93">
        <f t="shared" si="3"/>
        <v>72587.930000000022</v>
      </c>
      <c r="V22" s="93">
        <v>34288.97</v>
      </c>
      <c r="Y22" s="92">
        <v>35807.51</v>
      </c>
    </row>
    <row r="23" spans="1:26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5.3</v>
      </c>
      <c r="H23" s="33">
        <f>'ТСЖ 3 кв.2022г.'!H23-'ТСЖ 3 кв.2022г.'!I23+W23+V23</f>
        <v>52113.119999999995</v>
      </c>
      <c r="I23" s="33">
        <f t="shared" si="0"/>
        <v>42921.979999999996</v>
      </c>
      <c r="J23" s="33">
        <f>'ТСЖ 3 кв.2022г.'!J23+Y23+Z23+W23</f>
        <v>1121649.5399999998</v>
      </c>
      <c r="K23" s="33">
        <f>'ТСЖ 3 кв.2022г.'!K23+'ТСЖ 4 кв.2022г.'!I23</f>
        <v>1102826.58</v>
      </c>
      <c r="L23" s="43"/>
      <c r="M23" s="66"/>
      <c r="N23" s="33">
        <f>'ТСЖ 3 кв.2022г.'!N23</f>
        <v>435700.47000000003</v>
      </c>
      <c r="O23" s="105">
        <f t="shared" si="1"/>
        <v>667126.1100000001</v>
      </c>
      <c r="P23" s="78">
        <v>243907.98</v>
      </c>
      <c r="Q23" s="46">
        <f t="shared" si="4"/>
        <v>98.321850156511488</v>
      </c>
      <c r="S23" s="93">
        <f t="shared" si="2"/>
        <v>18231.47999999973</v>
      </c>
      <c r="T23" s="93">
        <f t="shared" si="3"/>
        <v>9191.14</v>
      </c>
      <c r="V23" s="93">
        <v>33326.379999999997</v>
      </c>
      <c r="W23" s="92">
        <v>-591.48</v>
      </c>
      <c r="Y23" s="92">
        <v>43513.46</v>
      </c>
    </row>
    <row r="24" spans="1:26" s="92" customFormat="1" ht="30.75" thickBot="1">
      <c r="A24" s="32">
        <v>1</v>
      </c>
      <c r="B24" s="60" t="s">
        <v>28</v>
      </c>
      <c r="C24" s="60" t="s">
        <v>394</v>
      </c>
      <c r="D24" s="60">
        <v>1996</v>
      </c>
      <c r="E24" s="60"/>
      <c r="F24" s="61">
        <v>2824.4</v>
      </c>
      <c r="G24" s="60">
        <v>5.3</v>
      </c>
      <c r="H24" s="33">
        <f>'ТСЖ 3 кв.2022г.'!H24-'ТСЖ 3 кв.2022г.'!I24+W24+V24</f>
        <v>221718.99000000005</v>
      </c>
      <c r="I24" s="33">
        <f t="shared" si="0"/>
        <v>42770.32</v>
      </c>
      <c r="J24" s="33">
        <f>'ТСЖ 3 кв.2022г.'!J24+Y24+Z24+W24</f>
        <v>1515863.9500000002</v>
      </c>
      <c r="K24" s="33">
        <f>'ТСЖ 3 кв.2022г.'!K24+'ТСЖ 4 кв.2022г.'!I24</f>
        <v>1345647.4400000002</v>
      </c>
      <c r="L24" s="72"/>
      <c r="M24" s="61"/>
      <c r="N24" s="33">
        <f>'ТСЖ 3 кв.2022г.'!N24</f>
        <v>124391</v>
      </c>
      <c r="O24" s="121">
        <f t="shared" si="1"/>
        <v>1221256.4400000002</v>
      </c>
      <c r="P24" s="44">
        <v>420551</v>
      </c>
      <c r="Q24" s="65">
        <f>K24/J24*100</f>
        <v>88.770990298964492</v>
      </c>
      <c r="S24" s="93">
        <f>J24-K24+3064.16</f>
        <v>173280.67</v>
      </c>
      <c r="T24" s="93">
        <f t="shared" si="3"/>
        <v>178948.67000000004</v>
      </c>
      <c r="V24" s="93">
        <v>47600.95</v>
      </c>
      <c r="W24" s="92">
        <v>1478.2</v>
      </c>
      <c r="Y24" s="92">
        <v>41292.120000000003</v>
      </c>
    </row>
    <row r="25" spans="1:26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5.3</v>
      </c>
      <c r="H25" s="33">
        <f>'ТСЖ 3 кв.2022г.'!H25-'ТСЖ 3 кв.2022г.'!I25+W25+V25</f>
        <v>53800.050000000017</v>
      </c>
      <c r="I25" s="33">
        <f t="shared" si="0"/>
        <v>17979.150000000001</v>
      </c>
      <c r="J25" s="33">
        <f>'ТСЖ 3 кв.2022г.'!J25+Y25+Z25+W25</f>
        <v>605390.15</v>
      </c>
      <c r="K25" s="33">
        <f>'ТСЖ 3 кв.2022г.'!K25+'ТСЖ 4 кв.2022г.'!I25</f>
        <v>570640.53</v>
      </c>
      <c r="L25" s="43"/>
      <c r="M25" s="66"/>
      <c r="N25" s="33">
        <f>'ТСЖ 3 кв.2022г.'!N25</f>
        <v>248930</v>
      </c>
      <c r="O25" s="105">
        <f t="shared" si="1"/>
        <v>321710.53000000003</v>
      </c>
      <c r="P25" s="44">
        <v>146097.04999999999</v>
      </c>
      <c r="Q25" s="46">
        <f t="shared" si="4"/>
        <v>94.259962769463627</v>
      </c>
      <c r="S25" s="93">
        <f t="shared" si="2"/>
        <v>34749.619999999995</v>
      </c>
      <c r="T25" s="93">
        <f t="shared" si="3"/>
        <v>35820.900000000016</v>
      </c>
      <c r="U25" s="93"/>
      <c r="V25" s="93">
        <v>18656.45</v>
      </c>
      <c r="Y25" s="92">
        <v>17979.150000000001</v>
      </c>
    </row>
    <row r="26" spans="1:26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5.3</v>
      </c>
      <c r="H26" s="33">
        <f>'ТСЖ 3 кв.2022г.'!H26-'ТСЖ 3 кв.2022г.'!I26+W26+V26</f>
        <v>171884.38999999996</v>
      </c>
      <c r="I26" s="33">
        <f t="shared" si="0"/>
        <v>35383.79</v>
      </c>
      <c r="J26" s="33">
        <f>'ТСЖ 3 кв.2022г.'!J26+Y26+Z26+W26</f>
        <v>1139785.0500000003</v>
      </c>
      <c r="K26" s="33">
        <f>'ТСЖ 3 кв.2022г.'!K26+'ТСЖ 4 кв.2022г.'!I26</f>
        <v>1004980.2800000001</v>
      </c>
      <c r="L26" s="43"/>
      <c r="M26" s="33"/>
      <c r="N26" s="33">
        <f>'ТСЖ 3 кв.2022г.'!N26</f>
        <v>532320</v>
      </c>
      <c r="O26" s="105">
        <f t="shared" si="1"/>
        <v>472660.28000000014</v>
      </c>
      <c r="P26" s="44">
        <v>235115.53</v>
      </c>
      <c r="Q26" s="46">
        <f>K26/J26*100</f>
        <v>88.172790123892213</v>
      </c>
      <c r="S26" s="93">
        <f t="shared" si="2"/>
        <v>134804.77000000014</v>
      </c>
      <c r="T26" s="93">
        <f t="shared" si="3"/>
        <v>136500.59999999995</v>
      </c>
      <c r="V26" s="93">
        <v>35510.17</v>
      </c>
      <c r="Y26" s="92">
        <v>35383.79</v>
      </c>
    </row>
    <row r="27" spans="1:26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5.3</v>
      </c>
      <c r="H27" s="33">
        <f>'ТСЖ 3 кв.2022г.'!H27-'ТСЖ 3 кв.2022г.'!I27+W27+V27</f>
        <v>170518.64999999994</v>
      </c>
      <c r="I27" s="33">
        <f t="shared" si="0"/>
        <v>33646.120000000003</v>
      </c>
      <c r="J27" s="33">
        <f>'ТСЖ 3 кв.2022г.'!J27+Y27+Z27+W27</f>
        <v>1123713.6100000003</v>
      </c>
      <c r="K27" s="33">
        <f>'ТСЖ 3 кв.2022г.'!K27+'ТСЖ 4 кв.2022г.'!I27</f>
        <v>989618.52000000014</v>
      </c>
      <c r="L27" s="43"/>
      <c r="M27" s="66"/>
      <c r="N27" s="33">
        <f>'ТСЖ 3 кв.2022г.'!N27</f>
        <v>475020</v>
      </c>
      <c r="O27" s="105">
        <f t="shared" si="1"/>
        <v>514598.52000000014</v>
      </c>
      <c r="P27" s="44">
        <v>287247.24</v>
      </c>
      <c r="Q27" s="46">
        <f>K27/J27*100</f>
        <v>88.066791324170211</v>
      </c>
      <c r="S27" s="93">
        <f t="shared" si="2"/>
        <v>134095.0900000002</v>
      </c>
      <c r="T27" s="93">
        <f t="shared" si="3"/>
        <v>136872.52999999994</v>
      </c>
      <c r="V27" s="93">
        <v>34992.68</v>
      </c>
      <c r="Y27" s="92">
        <v>33646.120000000003</v>
      </c>
    </row>
    <row r="28" spans="1:26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5.3</v>
      </c>
      <c r="H28" s="33">
        <f>'ТСЖ 3 кв.2022г.'!H28-'ТСЖ 3 кв.2022г.'!I28+W28+V28</f>
        <v>194272.16</v>
      </c>
      <c r="I28" s="33">
        <f t="shared" si="0"/>
        <v>44791.199999999997</v>
      </c>
      <c r="J28" s="33">
        <f>'ТСЖ 3 кв.2022г.'!J28+Y28+Z28+W28</f>
        <v>1720895.5400000003</v>
      </c>
      <c r="K28" s="33">
        <f>'ТСЖ 3 кв.2022г.'!K28+'ТСЖ 4 кв.2022г.'!I28</f>
        <v>1582894.7199999997</v>
      </c>
      <c r="L28" s="43"/>
      <c r="M28" s="33"/>
      <c r="N28" s="33">
        <f>'ТСЖ 3 кв.2022г.'!N28</f>
        <v>774822</v>
      </c>
      <c r="O28" s="105">
        <f t="shared" si="1"/>
        <v>808072.71999999974</v>
      </c>
      <c r="P28" s="44">
        <v>354498.41</v>
      </c>
      <c r="Q28" s="46">
        <f t="shared" si="4"/>
        <v>91.980871773309346</v>
      </c>
      <c r="S28" s="93">
        <f t="shared" si="2"/>
        <v>138000.82000000053</v>
      </c>
      <c r="T28" s="93">
        <f t="shared" si="3"/>
        <v>149480.96000000002</v>
      </c>
      <c r="U28" s="93"/>
      <c r="V28" s="93">
        <v>53346.46</v>
      </c>
      <c r="Y28" s="92">
        <v>44791.199999999997</v>
      </c>
    </row>
    <row r="29" spans="1:26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5.3</v>
      </c>
      <c r="H29" s="33">
        <f>'ТСЖ 3 кв.2022г.'!H29-'ТСЖ 3 кв.2022г.'!I29+W29+V29</f>
        <v>178295.88999999987</v>
      </c>
      <c r="I29" s="33">
        <f t="shared" si="0"/>
        <v>28513.18</v>
      </c>
      <c r="J29" s="33">
        <f>'ТСЖ 3 кв.2022г.'!J29+Y29+Z29+W29</f>
        <v>1139940.1099999996</v>
      </c>
      <c r="K29" s="33">
        <f>'ТСЖ 3 кв.2022г.'!K29+'ТСЖ 4 кв.2022г.'!I29</f>
        <v>999315.16000000015</v>
      </c>
      <c r="L29" s="43"/>
      <c r="M29" s="66"/>
      <c r="N29" s="33">
        <f>'ТСЖ 3 кв.2022г.'!N29</f>
        <v>721587</v>
      </c>
      <c r="O29" s="105">
        <f t="shared" si="1"/>
        <v>277728.16000000015</v>
      </c>
      <c r="P29" s="44">
        <v>309141.18</v>
      </c>
      <c r="Q29" s="46">
        <f>K29/J29*100</f>
        <v>87.663829988401801</v>
      </c>
      <c r="S29" s="48">
        <f t="shared" si="2"/>
        <v>140624.94999999949</v>
      </c>
      <c r="T29" s="48">
        <f t="shared" si="3"/>
        <v>149782.70999999988</v>
      </c>
      <c r="V29" s="93">
        <v>36147.24</v>
      </c>
      <c r="Y29" s="49">
        <v>28513.18</v>
      </c>
    </row>
    <row r="30" spans="1:26" ht="12.75" hidden="1" customHeight="1">
      <c r="A30" s="2"/>
      <c r="O30" s="119"/>
      <c r="S30" s="3">
        <f>SUM(S15:S29)</f>
        <v>1884338.6999999997</v>
      </c>
      <c r="Y30" s="100">
        <f>SUM(Y15:Y29)</f>
        <v>644423.78</v>
      </c>
      <c r="Z30" s="100"/>
    </row>
    <row r="31" spans="1:26" ht="15.75" hidden="1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6" ht="18.75" hidden="1" customHeight="1">
      <c r="A32" s="2"/>
      <c r="B32" s="107" t="s">
        <v>164</v>
      </c>
      <c r="C32" s="202" t="s">
        <v>389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Y32" s="100"/>
    </row>
    <row r="33" spans="1:15" hidden="1">
      <c r="A33" s="2"/>
      <c r="B33" s="108" t="s">
        <v>165</v>
      </c>
      <c r="C33" s="202" t="s">
        <v>303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 hidden="1">
      <c r="A34" s="2"/>
      <c r="B34" s="108" t="s">
        <v>166</v>
      </c>
      <c r="C34" s="202" t="s">
        <v>336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15" ht="15.75" hidden="1" customHeight="1">
      <c r="A35" s="2"/>
      <c r="B35" s="108" t="s">
        <v>167</v>
      </c>
      <c r="C35" s="202" t="s">
        <v>337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15" ht="15.75" hidden="1" customHeight="1">
      <c r="A36" s="2"/>
      <c r="B36" s="108" t="s">
        <v>168</v>
      </c>
      <c r="C36" s="202" t="s">
        <v>338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15" hidden="1">
      <c r="A37" s="2"/>
      <c r="B37" s="108" t="s">
        <v>165</v>
      </c>
      <c r="C37" s="202" t="s">
        <v>339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15" hidden="1">
      <c r="A38" s="2"/>
      <c r="B38" s="108" t="s">
        <v>166</v>
      </c>
      <c r="C38" s="202" t="s">
        <v>340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15" ht="15.75" hidden="1" customHeight="1">
      <c r="A39" s="2"/>
      <c r="B39" s="108" t="s">
        <v>167</v>
      </c>
      <c r="C39" s="202" t="s">
        <v>341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15" ht="15.75" hidden="1" customHeight="1">
      <c r="A40" s="2"/>
      <c r="B40" s="108" t="s">
        <v>168</v>
      </c>
      <c r="C40" s="202" t="s">
        <v>342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5" ht="15" hidden="1" customHeight="1">
      <c r="A41" s="2"/>
      <c r="B41" s="108" t="s">
        <v>171</v>
      </c>
      <c r="C41" s="202" t="s">
        <v>343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15" ht="15.75" hidden="1" customHeight="1">
      <c r="A42" s="2"/>
      <c r="B42" s="108" t="s">
        <v>176</v>
      </c>
      <c r="C42" s="202" t="s">
        <v>344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15" ht="15.75" hidden="1" customHeight="1">
      <c r="A43" s="2"/>
      <c r="B43" s="108" t="s">
        <v>177</v>
      </c>
      <c r="C43" s="202" t="s">
        <v>345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15" ht="15.75" hidden="1">
      <c r="A44" s="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s="27" customFormat="1" ht="15.75" hidden="1">
      <c r="A45" s="4" t="str">
        <f>'УК 4 кв. 2022г.'!A44</f>
        <v>04 января 2023г.</v>
      </c>
      <c r="I45" s="28"/>
    </row>
    <row r="46" spans="1:15" s="27" customFormat="1" ht="15.75" hidden="1">
      <c r="A46" s="4"/>
      <c r="I46" s="28"/>
    </row>
    <row r="47" spans="1:15" s="27" customFormat="1" ht="15.75" hidden="1">
      <c r="A47" s="4"/>
      <c r="I47" s="28"/>
    </row>
    <row r="48" spans="1:15" s="27" customFormat="1" ht="15.75" hidden="1">
      <c r="A48" s="4" t="s">
        <v>47</v>
      </c>
      <c r="I48" s="28"/>
    </row>
    <row r="49" spans="1:11" s="27" customFormat="1" ht="15.75" hidden="1">
      <c r="A49" s="30" t="s">
        <v>48</v>
      </c>
      <c r="I49" s="28"/>
    </row>
    <row r="50" spans="1:11" hidden="1">
      <c r="A50" s="1"/>
    </row>
    <row r="51" spans="1:11">
      <c r="A51" s="1"/>
      <c r="K51" s="3"/>
    </row>
    <row r="52" spans="1:11">
      <c r="A52" s="1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</sheetData>
  <autoFilter ref="A13:Z29"/>
  <mergeCells count="36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F11:F13"/>
    <mergeCell ref="G11:G13"/>
    <mergeCell ref="H11:I11"/>
    <mergeCell ref="J11:K11"/>
    <mergeCell ref="L11:N1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43:O43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opLeftCell="A8" zoomScaleNormal="100" workbookViewId="0">
      <selection activeCell="O22" sqref="O22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359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2кв. 2022г.'!H16-'УК 2кв. 2022г.'!I16+V16+W16+X16</f>
        <v>363474.36999999994</v>
      </c>
      <c r="I16" s="33">
        <f>136974.25+420.88</f>
        <v>137395.13</v>
      </c>
      <c r="J16" s="33">
        <f>'УК 2кв. 2022г.'!J16+'УК 3кв. 2022г.'!V16+'УК 3кв. 2022г.'!W16</f>
        <v>4834478.8899999987</v>
      </c>
      <c r="K16" s="33">
        <f>'УК 2кв. 2022г.'!K16+'УК 3кв. 2022г.'!I16</f>
        <v>4689176.34</v>
      </c>
      <c r="L16" s="64"/>
      <c r="M16" s="47"/>
      <c r="N16" s="33">
        <f>'УК 2кв. 2022г.'!N16</f>
        <v>894970.86</v>
      </c>
      <c r="O16" s="33">
        <f>K16-N16</f>
        <v>3794205.48</v>
      </c>
      <c r="P16" s="110">
        <f>K16/J16*100</f>
        <v>96.994452694776399</v>
      </c>
      <c r="R16" s="19">
        <f>J16-K16</f>
        <v>145302.54999999888</v>
      </c>
      <c r="S16" s="19">
        <f>H16-I16</f>
        <v>226079.23999999993</v>
      </c>
      <c r="V16" s="15">
        <v>148148.26</v>
      </c>
      <c r="W16" s="15">
        <f>2256.41-1.81</f>
        <v>2254.6</v>
      </c>
    </row>
    <row r="17" spans="1:23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2кв. 2022г.'!H17-'УК 2кв. 2022г.'!I17+V17+W17+X17</f>
        <v>128155.29000000004</v>
      </c>
      <c r="I17" s="33">
        <f>61844.76+29.16</f>
        <v>61873.920000000006</v>
      </c>
      <c r="J17" s="33">
        <f>'УК 2кв. 2022г.'!J17+'УК 3кв. 2022г.'!V17+'УК 3кв. 2022г.'!W17</f>
        <v>1432013.2100000004</v>
      </c>
      <c r="K17" s="33">
        <f>'УК 2кв. 2022г.'!K17+'УК 3кв. 2022г.'!I17</f>
        <v>1365731.84</v>
      </c>
      <c r="L17" s="32"/>
      <c r="M17" s="32"/>
      <c r="N17" s="33">
        <f>'УК 2кв. 2022г.'!N17</f>
        <v>0</v>
      </c>
      <c r="O17" s="33">
        <f>K17-N17</f>
        <v>1365731.84</v>
      </c>
      <c r="P17" s="110">
        <f t="shared" ref="P17:P23" si="0">K17/J17*100</f>
        <v>95.371455407174608</v>
      </c>
      <c r="R17" s="19">
        <f>J17-K17</f>
        <v>66281.370000000345</v>
      </c>
      <c r="S17" s="19">
        <f>H17-I17</f>
        <v>66281.370000000024</v>
      </c>
      <c r="V17" s="114">
        <v>67720.320000000007</v>
      </c>
      <c r="W17" s="15">
        <v>1731.52</v>
      </c>
    </row>
    <row r="18" spans="1:23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2кв. 2022г.'!H18-'УК 2кв. 2022г.'!I18+V18+W18+X18</f>
        <v>489551.30999999994</v>
      </c>
      <c r="I18" s="33">
        <f>37787.1+269.67</f>
        <v>38056.769999999997</v>
      </c>
      <c r="J18" s="33">
        <f>'УК 2кв. 2022г.'!J18+'УК 3кв. 2022г.'!V18+'УК 3кв. 2022г.'!W18</f>
        <v>1802272.6400000001</v>
      </c>
      <c r="K18" s="33">
        <f>'УК 2кв. 2022г.'!K18+'УК 3кв. 2022г.'!I18</f>
        <v>1350778.0999999999</v>
      </c>
      <c r="L18" s="34"/>
      <c r="M18" s="89"/>
      <c r="N18" s="33">
        <f>'УК 2кв. 2022г.'!N18+N19+N20</f>
        <v>215467</v>
      </c>
      <c r="O18" s="117">
        <f>K18-N18</f>
        <v>1135311.0999999999</v>
      </c>
      <c r="P18" s="110">
        <f t="shared" si="0"/>
        <v>74.948599341773274</v>
      </c>
      <c r="R18" s="19">
        <f>J18-K18</f>
        <v>451494.54000000027</v>
      </c>
      <c r="S18" s="19">
        <f>H18-I18</f>
        <v>451494.53999999992</v>
      </c>
      <c r="V18" s="114">
        <v>55277.73</v>
      </c>
      <c r="W18" s="15">
        <v>9210.23</v>
      </c>
    </row>
    <row r="19" spans="1:23" s="15" customFormat="1" ht="24" customHeight="1">
      <c r="A19" s="32"/>
      <c r="B19" s="32"/>
      <c r="C19" s="32"/>
      <c r="D19" s="32"/>
      <c r="E19" s="32"/>
      <c r="F19" s="33"/>
      <c r="G19" s="32"/>
      <c r="H19" s="33"/>
      <c r="I19" s="33"/>
      <c r="J19" s="33"/>
      <c r="K19" s="33"/>
      <c r="L19" s="94" t="s">
        <v>367</v>
      </c>
      <c r="M19" s="116" t="s">
        <v>364</v>
      </c>
      <c r="N19" s="33">
        <v>22500</v>
      </c>
      <c r="O19" s="118"/>
      <c r="P19" s="102"/>
      <c r="Q19" s="101"/>
      <c r="R19" s="19"/>
      <c r="S19" s="19"/>
    </row>
    <row r="20" spans="1:23" s="15" customFormat="1" ht="34.5" customHeight="1">
      <c r="A20" s="32"/>
      <c r="B20" s="32"/>
      <c r="C20" s="32"/>
      <c r="D20" s="32"/>
      <c r="E20" s="32"/>
      <c r="F20" s="33"/>
      <c r="G20" s="32"/>
      <c r="H20" s="33"/>
      <c r="I20" s="33"/>
      <c r="J20" s="33"/>
      <c r="K20" s="33"/>
      <c r="L20" s="94" t="s">
        <v>367</v>
      </c>
      <c r="M20" s="47" t="s">
        <v>368</v>
      </c>
      <c r="N20" s="33">
        <v>42000</v>
      </c>
      <c r="O20" s="118"/>
      <c r="P20" s="102"/>
      <c r="Q20" s="101"/>
      <c r="R20" s="19"/>
      <c r="S20" s="19"/>
    </row>
    <row r="21" spans="1:23" s="15" customFormat="1" ht="48.75" customHeight="1">
      <c r="A21" s="32">
        <v>1</v>
      </c>
      <c r="B21" s="32" t="s">
        <v>28</v>
      </c>
      <c r="C21" s="103" t="s">
        <v>92</v>
      </c>
      <c r="D21" s="32">
        <v>2012</v>
      </c>
      <c r="E21" s="32"/>
      <c r="F21" s="33">
        <v>2729.9</v>
      </c>
      <c r="G21" s="32">
        <v>7.32</v>
      </c>
      <c r="H21" s="33">
        <f>'УК 2кв. 2022г.'!H19-'УК 2кв. 2022г.'!I19+V21+W21+X21</f>
        <v>299126.53999999992</v>
      </c>
      <c r="I21" s="33">
        <f>68411.02+649.52</f>
        <v>69060.540000000008</v>
      </c>
      <c r="J21" s="33">
        <f>'УК 2кв. 2022г.'!J19+'УК 3кв. 2022г.'!V21+'УК 3кв. 2022г.'!W21</f>
        <v>2000190.7900000003</v>
      </c>
      <c r="K21" s="33">
        <f>'УК 2кв. 2022г.'!K19+'УК 3кв. 2022г.'!I21</f>
        <v>1770124.79</v>
      </c>
      <c r="L21" s="43"/>
      <c r="M21" s="91"/>
      <c r="N21" s="33">
        <f>'УК 2кв. 2022г.'!N19</f>
        <v>104440.4</v>
      </c>
      <c r="O21" s="117">
        <f t="shared" ref="O21:O25" si="1">K21-N21</f>
        <v>1665684.3900000001</v>
      </c>
      <c r="P21" s="110">
        <f t="shared" si="0"/>
        <v>88.497797252631074</v>
      </c>
      <c r="R21" s="19">
        <f>J21-K21</f>
        <v>230066.00000000023</v>
      </c>
      <c r="S21" s="19">
        <f t="shared" ref="S21:S23" si="2">H21-I21</f>
        <v>230065.99999999991</v>
      </c>
      <c r="U21" s="19"/>
      <c r="V21" s="114">
        <v>59948.61</v>
      </c>
      <c r="W21" s="15">
        <v>4651.6099999999997</v>
      </c>
    </row>
    <row r="22" spans="1:23" ht="30" customHeight="1">
      <c r="A22" s="32">
        <v>1</v>
      </c>
      <c r="B22" s="32" t="s">
        <v>28</v>
      </c>
      <c r="C22" s="103" t="s">
        <v>152</v>
      </c>
      <c r="D22" s="32">
        <v>2007</v>
      </c>
      <c r="E22" s="32"/>
      <c r="F22" s="33">
        <v>2918.7</v>
      </c>
      <c r="G22" s="32">
        <v>7.32</v>
      </c>
      <c r="H22" s="33">
        <f>'УК 2кв. 2022г.'!H20-'УК 2кв. 2022г.'!I20+V22+W22+X22</f>
        <v>56316.579999999973</v>
      </c>
      <c r="I22" s="33">
        <f>74650.76+386.57</f>
        <v>75037.33</v>
      </c>
      <c r="J22" s="33">
        <f>'УК 2кв. 2022г.'!J20+'УК 3кв. 2022г.'!V22+'УК 3кв. 2022г.'!W22</f>
        <v>2127033.81</v>
      </c>
      <c r="K22" s="33">
        <f>'УК 2кв. 2022г.'!K20+'УК 3кв. 2022г.'!I22</f>
        <v>1886516.1900000004</v>
      </c>
      <c r="L22" s="32"/>
      <c r="M22" s="32"/>
      <c r="N22" s="33">
        <f>'УК 2кв. 2022г.'!N20</f>
        <v>650595</v>
      </c>
      <c r="O22" s="117">
        <f t="shared" si="1"/>
        <v>1235921.1900000004</v>
      </c>
      <c r="P22" s="110">
        <f t="shared" si="0"/>
        <v>88.692346173848563</v>
      </c>
      <c r="R22" s="19">
        <f>J22-K22</f>
        <v>240517.61999999965</v>
      </c>
      <c r="S22" s="19">
        <f t="shared" si="2"/>
        <v>-18720.750000000029</v>
      </c>
      <c r="V22" s="115">
        <v>64094.67</v>
      </c>
      <c r="W22" s="13">
        <v>5040.82</v>
      </c>
    </row>
    <row r="23" spans="1:23" ht="35.25" customHeight="1">
      <c r="A23" s="32">
        <v>1</v>
      </c>
      <c r="B23" s="32" t="s">
        <v>28</v>
      </c>
      <c r="C23" s="103" t="s">
        <v>274</v>
      </c>
      <c r="D23" s="32">
        <v>2018</v>
      </c>
      <c r="E23" s="32"/>
      <c r="F23" s="33">
        <v>4764.6000000000004</v>
      </c>
      <c r="G23" s="32">
        <v>7.32</v>
      </c>
      <c r="H23" s="33">
        <f>'УК 2кв. 2022г.'!H21-'УК 2кв. 2022г.'!I21+V23+W23+X23</f>
        <v>259100.67000000004</v>
      </c>
      <c r="I23" s="33">
        <f>95665.75+1065.44</f>
        <v>96731.19</v>
      </c>
      <c r="J23" s="33">
        <f>'УК 2кв. 2022г.'!J21+'УК 3кв. 2022г.'!V23+'УК 3кв. 2022г.'!W23</f>
        <v>849050.82000000018</v>
      </c>
      <c r="K23" s="33">
        <f>'УК 2кв. 2022г.'!K21+'УК 3кв. 2022г.'!I23</f>
        <v>686681.49</v>
      </c>
      <c r="L23" s="32"/>
      <c r="M23" s="32"/>
      <c r="N23" s="33">
        <f>'УК 2кв. 2022г.'!N21</f>
        <v>0</v>
      </c>
      <c r="O23" s="117">
        <f t="shared" si="1"/>
        <v>686681.49</v>
      </c>
      <c r="P23" s="110">
        <f t="shared" si="0"/>
        <v>80.87637086317163</v>
      </c>
      <c r="R23" s="19">
        <f t="shared" ref="R23:R25" si="3">J23-K23</f>
        <v>162369.33000000019</v>
      </c>
      <c r="S23" s="19">
        <f t="shared" si="2"/>
        <v>162369.48000000004</v>
      </c>
      <c r="V23" s="115">
        <v>104630.49</v>
      </c>
      <c r="W23" s="13">
        <v>2797.8</v>
      </c>
    </row>
    <row r="24" spans="1:23" ht="30.75" customHeight="1">
      <c r="A24" s="32">
        <v>1</v>
      </c>
      <c r="B24" s="32" t="s">
        <v>28</v>
      </c>
      <c r="C24" s="103" t="s">
        <v>347</v>
      </c>
      <c r="D24" s="32">
        <v>2007</v>
      </c>
      <c r="E24" s="32"/>
      <c r="F24" s="33">
        <v>1202.9000000000001</v>
      </c>
      <c r="G24" s="32">
        <v>5.3</v>
      </c>
      <c r="H24" s="33">
        <f>'УК 2кв. 2022г.'!H22-'УК 2кв. 2022г.'!I22+V24+W24+X24</f>
        <v>153809.41</v>
      </c>
      <c r="I24" s="33">
        <f>27768.49+7212.95</f>
        <v>34981.440000000002</v>
      </c>
      <c r="J24" s="33">
        <f>'УК 2кв. 2022г.'!J22+'УК 3кв. 2022г.'!V24+'УК 3кв. 2022г.'!W24</f>
        <v>597446.06999999995</v>
      </c>
      <c r="K24" s="33">
        <f>'УК 2кв. 2022г.'!K22+'УК 3кв. 2022г.'!I24</f>
        <v>478618.10000000003</v>
      </c>
      <c r="L24" s="32"/>
      <c r="M24" s="32"/>
      <c r="N24" s="33">
        <f>'УК 2кв. 2022г.'!N22</f>
        <v>0</v>
      </c>
      <c r="O24" s="117">
        <f>K24-N24</f>
        <v>478618.10000000003</v>
      </c>
      <c r="P24" s="110">
        <f>K24/J24*100</f>
        <v>80.110678441654173</v>
      </c>
      <c r="R24" s="19">
        <f t="shared" si="3"/>
        <v>118827.96999999991</v>
      </c>
      <c r="S24" s="19"/>
      <c r="V24" s="115">
        <v>19126.11</v>
      </c>
      <c r="W24" s="13">
        <v>2224.48</v>
      </c>
    </row>
    <row r="25" spans="1:23" ht="30.75" customHeight="1">
      <c r="A25" s="32">
        <v>1</v>
      </c>
      <c r="B25" s="32" t="s">
        <v>28</v>
      </c>
      <c r="C25" s="103" t="s">
        <v>327</v>
      </c>
      <c r="D25" s="32">
        <v>2006</v>
      </c>
      <c r="E25" s="32"/>
      <c r="F25" s="33">
        <v>1201.8</v>
      </c>
      <c r="G25" s="32">
        <v>5.3</v>
      </c>
      <c r="H25" s="33">
        <f>'УК 2кв. 2022г.'!H23-'УК 2кв. 2022г.'!I23+V25+W25+X25</f>
        <v>186157.11</v>
      </c>
      <c r="I25" s="33">
        <f>12008.49+11.26</f>
        <v>12019.75</v>
      </c>
      <c r="J25" s="33">
        <f>'УК 2кв. 2022г.'!J23+'УК 3кв. 2022г.'!V25+'УК 3кв. 2022г.'!W25</f>
        <v>533148.05999999994</v>
      </c>
      <c r="K25" s="33">
        <f>'УК 2кв. 2022г.'!K23+'УК 3кв. 2022г.'!I25</f>
        <v>359010.69999999995</v>
      </c>
      <c r="L25" s="32"/>
      <c r="M25" s="32"/>
      <c r="N25" s="33">
        <f>'УК 2кв. 2022г.'!N23+N27+N26</f>
        <v>349990.05</v>
      </c>
      <c r="O25" s="117">
        <f t="shared" si="1"/>
        <v>9020.6499999999651</v>
      </c>
      <c r="P25" s="110">
        <f>K25/J25*100</f>
        <v>67.337898594247918</v>
      </c>
      <c r="R25" s="19">
        <f t="shared" si="3"/>
        <v>174137.36</v>
      </c>
      <c r="S25" s="19"/>
      <c r="V25" s="115">
        <v>19108.62</v>
      </c>
      <c r="W25" s="13">
        <v>3606.45</v>
      </c>
    </row>
    <row r="26" spans="1:23" s="15" customFormat="1" ht="48" customHeight="1">
      <c r="A26" s="32"/>
      <c r="B26" s="32"/>
      <c r="C26" s="32"/>
      <c r="D26" s="32"/>
      <c r="E26" s="32"/>
      <c r="F26" s="33"/>
      <c r="G26" s="32"/>
      <c r="H26" s="33"/>
      <c r="I26" s="33"/>
      <c r="J26" s="33"/>
      <c r="K26" s="33"/>
      <c r="L26" s="94" t="s">
        <v>366</v>
      </c>
      <c r="M26" s="47" t="s">
        <v>363</v>
      </c>
      <c r="N26" s="33">
        <v>103126</v>
      </c>
      <c r="O26" s="118"/>
      <c r="P26" s="102"/>
      <c r="Q26" s="101"/>
      <c r="R26" s="19"/>
      <c r="S26" s="19"/>
    </row>
    <row r="27" spans="1:23" s="15" customFormat="1" ht="43.5" customHeight="1">
      <c r="A27" s="32"/>
      <c r="B27" s="32"/>
      <c r="C27" s="32"/>
      <c r="D27" s="32"/>
      <c r="E27" s="32"/>
      <c r="F27" s="33"/>
      <c r="G27" s="32"/>
      <c r="H27" s="33"/>
      <c r="I27" s="33"/>
      <c r="J27" s="33"/>
      <c r="K27" s="33"/>
      <c r="L27" s="94" t="s">
        <v>365</v>
      </c>
      <c r="M27" s="47" t="s">
        <v>362</v>
      </c>
      <c r="N27" s="33">
        <v>246864.05</v>
      </c>
      <c r="O27" s="105"/>
      <c r="P27" s="102"/>
      <c r="Q27" s="101"/>
      <c r="R27" s="19"/>
      <c r="S27" s="19"/>
    </row>
    <row r="28" spans="1:23" hidden="1">
      <c r="A28" s="67"/>
      <c r="B28" s="67"/>
      <c r="C28" s="67"/>
      <c r="D28" s="67"/>
      <c r="E28" s="67"/>
      <c r="F28" s="68"/>
      <c r="G28" s="67"/>
      <c r="H28" s="68"/>
      <c r="I28" s="68"/>
      <c r="J28" s="68"/>
      <c r="K28" s="68"/>
      <c r="L28" s="67"/>
      <c r="M28" s="67"/>
      <c r="N28" s="67"/>
      <c r="O28" s="68"/>
      <c r="P28" s="63"/>
      <c r="V28" s="13">
        <f>SUM(V16:V25)</f>
        <v>538054.80999999994</v>
      </c>
      <c r="W28" s="13">
        <f>SUM(W16:W25)</f>
        <v>31517.51</v>
      </c>
    </row>
    <row r="29" spans="1:23" s="17" customFormat="1" ht="15.75" hidden="1">
      <c r="A29" s="4" t="s">
        <v>64</v>
      </c>
      <c r="C29" s="90"/>
      <c r="D29" s="90"/>
      <c r="E29" s="90"/>
      <c r="F29" s="90"/>
      <c r="G29" s="90"/>
      <c r="H29" s="90"/>
      <c r="I29" s="90"/>
      <c r="J29" s="90"/>
      <c r="K29" s="90"/>
      <c r="L29" s="4"/>
      <c r="P29" s="62"/>
    </row>
    <row r="30" spans="1:23" s="17" customFormat="1" ht="15.75" hidden="1">
      <c r="A30" s="4"/>
      <c r="C30" s="90" t="s">
        <v>370</v>
      </c>
      <c r="D30" s="90"/>
      <c r="E30" s="90"/>
      <c r="F30" s="90"/>
      <c r="G30" s="90"/>
      <c r="H30" s="90"/>
      <c r="I30" s="90"/>
      <c r="J30" s="90"/>
      <c r="K30" s="90"/>
      <c r="L30" s="4"/>
      <c r="P30" s="62"/>
    </row>
    <row r="31" spans="1:23" s="62" customFormat="1" ht="21.75" hidden="1" customHeight="1">
      <c r="A31" s="111"/>
      <c r="C31" s="15" t="s">
        <v>369</v>
      </c>
      <c r="D31" s="15"/>
      <c r="E31" s="15"/>
      <c r="F31" s="15"/>
      <c r="G31" s="15"/>
      <c r="H31" s="15"/>
      <c r="I31" s="15"/>
      <c r="J31" s="15"/>
      <c r="K31" s="15"/>
    </row>
    <row r="32" spans="1:23" s="17" customFormat="1" ht="15.75" hidden="1">
      <c r="A32" s="4"/>
      <c r="C32" s="13" t="s">
        <v>371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 hidden="1">
      <c r="A33" s="4"/>
      <c r="C33" s="13" t="s">
        <v>372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 hidden="1">
      <c r="A34" s="4"/>
      <c r="C34" s="13" t="s">
        <v>373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 hidden="1">
      <c r="A35" s="4"/>
      <c r="C35" s="13" t="s">
        <v>374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15.75" hidden="1">
      <c r="A36" s="4"/>
      <c r="C36" s="13" t="s">
        <v>375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5.75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>
      <c r="A39" s="4" t="s">
        <v>360</v>
      </c>
      <c r="P39" s="62"/>
    </row>
    <row r="40" spans="1:16" s="17" customFormat="1" ht="15.75">
      <c r="A40" s="4" t="s">
        <v>59</v>
      </c>
      <c r="P40" s="62"/>
    </row>
    <row r="41" spans="1:16" s="17" customFormat="1" ht="15.75">
      <c r="A41" s="4"/>
      <c r="P41" s="62"/>
    </row>
    <row r="42" spans="1:16">
      <c r="A42" s="2" t="s">
        <v>48</v>
      </c>
    </row>
  </sheetData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4"/>
  <sheetViews>
    <sheetView topLeftCell="A4" workbookViewId="0">
      <selection activeCell="O22" sqref="O22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3кв. 2022г.'!A4:O4</f>
        <v xml:space="preserve">по состоянию за 3 квартал 2022 года на 01 октября 2022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6.75" customHeight="1">
      <c r="A15" s="32">
        <v>1</v>
      </c>
      <c r="B15" s="32" t="s">
        <v>28</v>
      </c>
      <c r="C15" s="32" t="s">
        <v>29</v>
      </c>
      <c r="D15" s="32"/>
      <c r="E15" s="32"/>
      <c r="F15" s="33">
        <v>4750.7</v>
      </c>
      <c r="G15" s="32">
        <v>5.3</v>
      </c>
      <c r="H15" s="33">
        <f>'ТСЖ 2 кв.2022г.'!H15-'ТСЖ 2 кв.2022г.'!I15+W15+Y15+Z15</f>
        <v>365785.39000000007</v>
      </c>
      <c r="I15" s="33">
        <f>48245.93+31.99+W15</f>
        <v>50426.52</v>
      </c>
      <c r="J15" s="33">
        <f>'ТСЖ 2 кв.2022г.'!J15+Y15+Z15+W15</f>
        <v>2475718.9100000006</v>
      </c>
      <c r="K15" s="33">
        <f>'ТСЖ 2 кв.2022г.'!K15+'ТСЖ 3 кв.2022г.'!I15</f>
        <v>2173608.9699999997</v>
      </c>
      <c r="L15" s="43"/>
      <c r="M15" s="66"/>
      <c r="N15" s="33">
        <f>'ТСЖ 2 кв.2022г.'!N15</f>
        <v>426357.21</v>
      </c>
      <c r="O15" s="105">
        <f>K15-V15</f>
        <v>1747251.7599999998</v>
      </c>
      <c r="P15" s="74">
        <v>520817.08</v>
      </c>
      <c r="Q15" s="46">
        <f>K15/J15*100</f>
        <v>87.797082343245464</v>
      </c>
      <c r="S15" s="48">
        <f>J15-K15+16536.37</f>
        <v>318646.31000000087</v>
      </c>
      <c r="T15" s="48">
        <f>H15-I15</f>
        <v>315358.87000000005</v>
      </c>
      <c r="V15" s="48">
        <v>426357.21</v>
      </c>
      <c r="W15" s="49">
        <v>2148.6</v>
      </c>
      <c r="Y15" s="49">
        <v>75567.929999999993</v>
      </c>
      <c r="Z15" s="49">
        <v>4993.88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2 кв.2022г.'!H16-'ТСЖ 2 кв.2022г.'!I16+W16+Y16+Z16</f>
        <v>102198.60999999999</v>
      </c>
      <c r="I16" s="33">
        <f>22954.06+100.35</f>
        <v>23054.41</v>
      </c>
      <c r="J16" s="33">
        <f>'ТСЖ 2 кв.2022г.'!J16+Y16+Z16+W16</f>
        <v>989707.12000000034</v>
      </c>
      <c r="K16" s="33">
        <f>'ТСЖ 2 кв.2022г.'!K16+'ТСЖ 3 кв.2022г.'!I16</f>
        <v>911524.87000000023</v>
      </c>
      <c r="L16" s="43"/>
      <c r="M16" s="66"/>
      <c r="N16" s="33">
        <f>'ТСЖ 2 кв.2022г.'!N16</f>
        <v>221688.82</v>
      </c>
      <c r="O16" s="105">
        <f t="shared" ref="O16:O22" si="0">K16-V16</f>
        <v>689836.05000000028</v>
      </c>
      <c r="P16" s="78">
        <v>264064.82</v>
      </c>
      <c r="Q16" s="46">
        <f>K16/J16*100</f>
        <v>92.100466044944682</v>
      </c>
      <c r="S16" s="48">
        <f t="shared" ref="S16:S29" si="1">J16-K16+W16</f>
        <v>78182.250000000116</v>
      </c>
      <c r="T16" s="48">
        <f t="shared" ref="T16:T29" si="2">H16-I16</f>
        <v>79144.199999999983</v>
      </c>
      <c r="V16" s="48">
        <v>221688.82</v>
      </c>
      <c r="Y16" s="49">
        <v>30349.919999999998</v>
      </c>
      <c r="Z16" s="49">
        <v>1462.62</v>
      </c>
    </row>
    <row r="17" spans="1:26" s="49" customFormat="1" ht="39.75" customHeight="1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2 кв.2022г.'!H17-'ТСЖ 2 кв.2022г.'!I17+W17+Y17+Z17</f>
        <v>181826.44000000006</v>
      </c>
      <c r="I17" s="61">
        <f>38855.99+2159.34</f>
        <v>41015.33</v>
      </c>
      <c r="J17" s="33">
        <f>'ТСЖ 2 кв.2022г.'!J17+Y17+Z17+W17</f>
        <v>1018412.5699999994</v>
      </c>
      <c r="K17" s="33">
        <f>'ТСЖ 2 кв.2022г.'!K17+'ТСЖ 3 кв.2022г.'!I17</f>
        <v>879338.5</v>
      </c>
      <c r="L17" s="72"/>
      <c r="M17" s="73"/>
      <c r="N17" s="33">
        <f>'ТСЖ 2 кв.2022г.'!N17</f>
        <v>476040</v>
      </c>
      <c r="O17" s="106">
        <f t="shared" si="0"/>
        <v>403298.5</v>
      </c>
      <c r="P17" s="74">
        <v>253163.82</v>
      </c>
      <c r="Q17" s="65">
        <f>K17/J17*100</f>
        <v>86.344034422120359</v>
      </c>
      <c r="S17" s="48">
        <f t="shared" si="1"/>
        <v>139074.06999999937</v>
      </c>
      <c r="T17" s="48">
        <f t="shared" si="2"/>
        <v>140811.11000000004</v>
      </c>
      <c r="V17" s="48">
        <v>476040</v>
      </c>
      <c r="Y17" s="49">
        <v>30962.07</v>
      </c>
      <c r="Z17" s="49">
        <v>2440.64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2990</v>
      </c>
      <c r="G18" s="60">
        <v>5.3</v>
      </c>
      <c r="H18" s="33">
        <f>'ТСЖ 2 кв.2022г.'!H18-'ТСЖ 2 кв.2022г.'!I18+W18+Y18+Z18</f>
        <v>232446.78000000009</v>
      </c>
      <c r="I18" s="61">
        <f>60183.52+2438.97</f>
        <v>62622.49</v>
      </c>
      <c r="J18" s="33">
        <f>'ТСЖ 2 кв.2022г.'!J18+Y18+Z18+W18</f>
        <v>1556827.1099999994</v>
      </c>
      <c r="K18" s="33">
        <f>'ТСЖ 2 кв.2022г.'!K18+'ТСЖ 3 кв.2022г.'!I18</f>
        <v>1389622.53</v>
      </c>
      <c r="L18" s="72"/>
      <c r="M18" s="73"/>
      <c r="N18" s="33">
        <f>'ТСЖ 2 кв.2022г.'!N18</f>
        <v>731630</v>
      </c>
      <c r="O18" s="105">
        <f t="shared" si="0"/>
        <v>657992.53</v>
      </c>
      <c r="P18" s="44">
        <v>378042.71</v>
      </c>
      <c r="Q18" s="65">
        <f t="shared" ref="Q18:Q28" si="3">K18/J18*100</f>
        <v>89.259913388841269</v>
      </c>
      <c r="S18" s="48">
        <f t="shared" si="1"/>
        <v>167204.57999999938</v>
      </c>
      <c r="T18" s="48">
        <f t="shared" si="2"/>
        <v>169824.2900000001</v>
      </c>
      <c r="V18" s="48">
        <v>731630</v>
      </c>
      <c r="Y18" s="49">
        <v>47541</v>
      </c>
      <c r="Z18" s="49">
        <v>2547.06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1698.6</v>
      </c>
      <c r="G19" s="32">
        <v>5.3</v>
      </c>
      <c r="H19" s="33">
        <f>'ТСЖ 2 кв.2022г.'!H19-'ТСЖ 2 кв.2022г.'!I19+W19+Y19+Z19</f>
        <v>157528.39000000001</v>
      </c>
      <c r="I19" s="33">
        <f>22743.67+8.31</f>
        <v>22751.98</v>
      </c>
      <c r="J19" s="33">
        <f>'ТСЖ 2 кв.2022г.'!J19+Y19+Z19+W19</f>
        <v>887048.74999999977</v>
      </c>
      <c r="K19" s="33">
        <f>'ТСЖ 2 кв.2022г.'!K19+'ТСЖ 3 кв.2022г.'!I19</f>
        <v>753598.39</v>
      </c>
      <c r="L19" s="43"/>
      <c r="M19" s="66"/>
      <c r="N19" s="33">
        <f>'ТСЖ 2 кв.2022г.'!N19</f>
        <v>230810</v>
      </c>
      <c r="O19" s="105">
        <f t="shared" si="0"/>
        <v>522788.39</v>
      </c>
      <c r="P19" s="44">
        <v>252978.03</v>
      </c>
      <c r="Q19" s="46">
        <f>K19/J19*100</f>
        <v>84.955690428513677</v>
      </c>
      <c r="S19" s="93">
        <f t="shared" si="1"/>
        <v>133450.35999999975</v>
      </c>
      <c r="T19" s="93">
        <f t="shared" si="2"/>
        <v>134776.41</v>
      </c>
      <c r="V19" s="93">
        <v>230810</v>
      </c>
      <c r="Y19" s="92">
        <v>27007.74</v>
      </c>
      <c r="Z19" s="92">
        <v>2200.4299999999998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2 кв.2022г.'!H20-'ТСЖ 2 кв.2022г.'!I20+W20+Y20+Z20</f>
        <v>73040.559999999983</v>
      </c>
      <c r="I20" s="33">
        <f>16177.69+8.8</f>
        <v>16186.49</v>
      </c>
      <c r="J20" s="33">
        <f>'ТСЖ 2 кв.2022г.'!J20+Y20+Z20+W20</f>
        <v>616596.70999999985</v>
      </c>
      <c r="K20" s="33">
        <f>'ТСЖ 2 кв.2022г.'!K20+'ТСЖ 3 кв.2022г.'!I20</f>
        <v>560485.46</v>
      </c>
      <c r="L20" s="43"/>
      <c r="M20" s="66"/>
      <c r="N20" s="33">
        <f>'ТСЖ 2 кв.2022г.'!N20</f>
        <v>208003.99</v>
      </c>
      <c r="O20" s="121">
        <f t="shared" si="0"/>
        <v>352481.47</v>
      </c>
      <c r="P20" s="74">
        <v>124839.69</v>
      </c>
      <c r="Q20" s="46">
        <f t="shared" si="3"/>
        <v>90.899846027397729</v>
      </c>
      <c r="S20" s="93">
        <f t="shared" si="1"/>
        <v>56111.249999999884</v>
      </c>
      <c r="T20" s="93">
        <f t="shared" si="2"/>
        <v>56854.069999999985</v>
      </c>
      <c r="V20" s="93">
        <v>208003.99</v>
      </c>
      <c r="Y20" s="92">
        <v>18905.099999999999</v>
      </c>
      <c r="Z20" s="92">
        <v>613.96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2427.8000000000002</v>
      </c>
      <c r="G21" s="60">
        <v>5.3</v>
      </c>
      <c r="H21" s="33">
        <f>'ТСЖ 2 кв.2022г.'!H21-'ТСЖ 2 кв.2022г.'!I21+W21+Y21+Z21</f>
        <v>177649.03000000003</v>
      </c>
      <c r="I21" s="61">
        <f>31382.87+22.38</f>
        <v>31405.25</v>
      </c>
      <c r="J21" s="33">
        <f>'ТСЖ 2 кв.2022г.'!J21+Y21+Z21+W21</f>
        <v>1254235.06</v>
      </c>
      <c r="K21" s="33">
        <f>'ТСЖ 2 кв.2022г.'!K21+'ТСЖ 3 кв.2022г.'!I21</f>
        <v>1109205.8399999999</v>
      </c>
      <c r="L21" s="72"/>
      <c r="M21" s="61"/>
      <c r="N21" s="33">
        <f>'ТСЖ 2 кв.2022г.'!N21</f>
        <v>0</v>
      </c>
      <c r="O21" s="106">
        <f t="shared" si="0"/>
        <v>1109205.8399999999</v>
      </c>
      <c r="P21" s="44">
        <v>388089.32</v>
      </c>
      <c r="Q21" s="65">
        <f t="shared" si="3"/>
        <v>88.436838944687111</v>
      </c>
      <c r="S21" s="93">
        <f t="shared" si="1"/>
        <v>145029.2200000002</v>
      </c>
      <c r="T21" s="93">
        <f t="shared" si="2"/>
        <v>146243.78000000003</v>
      </c>
      <c r="Y21" s="92">
        <f>38602.02+68.95</f>
        <v>38670.969999999994</v>
      </c>
      <c r="Z21" s="92">
        <v>1838.71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2 кв.2022г.'!H22-'ТСЖ 2 кв.2022г.'!I22+W22+Y22+Z22</f>
        <v>99617.860000000015</v>
      </c>
      <c r="I22" s="33">
        <f>25341.46+169.93</f>
        <v>25511.39</v>
      </c>
      <c r="J22" s="33">
        <f>'ТСЖ 2 кв.2022г.'!J22+Y22+Z22+W22</f>
        <v>1077893.0100000002</v>
      </c>
      <c r="K22" s="33">
        <f>'ТСЖ 2 кв.2022г.'!K22+'ТСЖ 3 кв.2022г.'!I22</f>
        <v>1005039.7500000001</v>
      </c>
      <c r="L22" s="43"/>
      <c r="M22" s="66"/>
      <c r="N22" s="33">
        <f>'ТСЖ 2 кв.2022г.'!N22</f>
        <v>454457.47</v>
      </c>
      <c r="O22" s="105">
        <f t="shared" si="0"/>
        <v>550582.28000000014</v>
      </c>
      <c r="P22" s="74">
        <v>223464.31</v>
      </c>
      <c r="Q22" s="46">
        <f>K22/J22*100</f>
        <v>93.241141808684688</v>
      </c>
      <c r="S22" s="93">
        <f t="shared" si="1"/>
        <v>72853.260000000126</v>
      </c>
      <c r="T22" s="93">
        <f t="shared" si="2"/>
        <v>74106.470000000016</v>
      </c>
      <c r="V22" s="93">
        <f>N22</f>
        <v>454457.47</v>
      </c>
      <c r="Y22" s="92">
        <v>33038.61</v>
      </c>
      <c r="Z22" s="92">
        <v>1327.3</v>
      </c>
    </row>
    <row r="23" spans="1:26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2086.5</v>
      </c>
      <c r="G23" s="32">
        <v>5.3</v>
      </c>
      <c r="H23" s="33">
        <f>'ТСЖ 2 кв.2022г.'!H23-'ТСЖ 2 кв.2022г.'!I23+W23+Y23+Z23</f>
        <v>49860.439999999995</v>
      </c>
      <c r="I23" s="33">
        <f>29590.39+300.35+591.48</f>
        <v>30482.219999999998</v>
      </c>
      <c r="J23" s="33">
        <f>'ТСЖ 2 кв.2022г.'!J23+Y23+Z23+W23</f>
        <v>1078727.5599999998</v>
      </c>
      <c r="K23" s="33">
        <f>'ТСЖ 2 кв.2022г.'!K23+'ТСЖ 3 кв.2022г.'!I23</f>
        <v>1059904.6000000001</v>
      </c>
      <c r="L23" s="43"/>
      <c r="M23" s="66"/>
      <c r="N23" s="33">
        <f>'ТСЖ 2 кв.2022г.'!N23</f>
        <v>435700.47000000003</v>
      </c>
      <c r="O23" s="105">
        <f>K23-V23</f>
        <v>624204.13000000012</v>
      </c>
      <c r="P23" s="78">
        <v>243907.98</v>
      </c>
      <c r="Q23" s="46">
        <f t="shared" si="3"/>
        <v>98.255077491484528</v>
      </c>
      <c r="S23" s="93">
        <f t="shared" si="1"/>
        <v>18822.95999999973</v>
      </c>
      <c r="T23" s="93">
        <f t="shared" si="2"/>
        <v>19378.219999999998</v>
      </c>
      <c r="V23" s="93">
        <f t="shared" ref="V23:V29" si="4">N23</f>
        <v>435700.47000000003</v>
      </c>
      <c r="Y23" s="92">
        <v>33175.35</v>
      </c>
      <c r="Z23" s="92">
        <v>159.63</v>
      </c>
    </row>
    <row r="24" spans="1:26" s="92" customFormat="1" ht="45.75" thickBot="1">
      <c r="A24" s="32">
        <v>1</v>
      </c>
      <c r="B24" s="60" t="s">
        <v>28</v>
      </c>
      <c r="C24" s="60" t="s">
        <v>34</v>
      </c>
      <c r="D24" s="60"/>
      <c r="E24" s="60"/>
      <c r="F24" s="61">
        <v>2824.4</v>
      </c>
      <c r="G24" s="60">
        <v>5.3</v>
      </c>
      <c r="H24" s="33">
        <f>'ТСЖ 2 кв.2022г.'!H24-'ТСЖ 2 кв.2022г.'!I24+W24+Y24+Z24</f>
        <v>223987.12000000002</v>
      </c>
      <c r="I24" s="61">
        <f>48516.16+1399.65+W24</f>
        <v>51347.280000000006</v>
      </c>
      <c r="J24" s="33">
        <f>'ТСЖ 2 кв.2022г.'!J24+Y24+Z24+W24</f>
        <v>1473093.6300000001</v>
      </c>
      <c r="K24" s="33">
        <f>'ТСЖ 2 кв.2022г.'!K24+'ТСЖ 3 кв.2022г.'!I24</f>
        <v>1302877.1200000001</v>
      </c>
      <c r="L24" s="72"/>
      <c r="M24" s="61"/>
      <c r="N24" s="33">
        <f>'ТСЖ 2 кв.2022г.'!N24</f>
        <v>124391</v>
      </c>
      <c r="O24" s="121">
        <f t="shared" ref="O24:O27" si="5">K24-V24</f>
        <v>1178486.1200000001</v>
      </c>
      <c r="P24" s="44">
        <v>420551</v>
      </c>
      <c r="Q24" s="65">
        <f>K24/J24*100</f>
        <v>88.444963270936157</v>
      </c>
      <c r="S24" s="93">
        <f>J24-K24+3064.16</f>
        <v>173280.67</v>
      </c>
      <c r="T24" s="93">
        <f t="shared" si="2"/>
        <v>172639.84000000003</v>
      </c>
      <c r="V24" s="93">
        <f t="shared" si="4"/>
        <v>124391</v>
      </c>
      <c r="W24" s="92">
        <v>1431.47</v>
      </c>
      <c r="Y24" s="92">
        <f>44908.02</f>
        <v>44908.02</v>
      </c>
      <c r="Z24" s="92">
        <v>3250.73</v>
      </c>
    </row>
    <row r="25" spans="1:26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2 кв.2022г.'!H25-'ТСЖ 2 кв.2022г.'!I25+W25+Y25+Z25</f>
        <v>50084.510000000017</v>
      </c>
      <c r="I25" s="33">
        <f>14908.02+32.89</f>
        <v>14940.91</v>
      </c>
      <c r="J25" s="33">
        <f>'ТСЖ 2 кв.2022г.'!J25+Y25+Z25+W25</f>
        <v>587411</v>
      </c>
      <c r="K25" s="33">
        <f>'ТСЖ 2 кв.2022г.'!K25+'ТСЖ 3 кв.2022г.'!I25</f>
        <v>552661.38</v>
      </c>
      <c r="L25" s="43"/>
      <c r="M25" s="66"/>
      <c r="N25" s="33">
        <f>'ТСЖ 2 кв.2022г.'!N25</f>
        <v>248930</v>
      </c>
      <c r="O25" s="105">
        <f t="shared" si="5"/>
        <v>303731.38</v>
      </c>
      <c r="P25" s="44">
        <v>146097.04999999999</v>
      </c>
      <c r="Q25" s="46">
        <f t="shared" si="3"/>
        <v>94.084274894409532</v>
      </c>
      <c r="S25" s="93">
        <f t="shared" si="1"/>
        <v>34749.619999999995</v>
      </c>
      <c r="T25" s="93">
        <f t="shared" si="2"/>
        <v>35143.60000000002</v>
      </c>
      <c r="U25" s="93"/>
      <c r="V25" s="93">
        <f t="shared" si="4"/>
        <v>248930</v>
      </c>
      <c r="Y25" s="92">
        <f>18046.5</f>
        <v>18046.5</v>
      </c>
      <c r="Z25" s="92">
        <v>633.57000000000005</v>
      </c>
    </row>
    <row r="26" spans="1:26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2 кв.2022г.'!H26-'ТСЖ 2 кв.2022г.'!I26+W26+Y26+Z26</f>
        <v>192465.30999999997</v>
      </c>
      <c r="I26" s="33">
        <f>53854.79+2236.3</f>
        <v>56091.090000000004</v>
      </c>
      <c r="J26" s="33">
        <f>'ТСЖ 2 кв.2022г.'!J26+Y26+Z26+W26</f>
        <v>1104401.2600000002</v>
      </c>
      <c r="K26" s="33">
        <f>'ТСЖ 2 кв.2022г.'!K26+'ТСЖ 3 кв.2022г.'!I26</f>
        <v>969596.49000000011</v>
      </c>
      <c r="L26" s="43"/>
      <c r="M26" s="33"/>
      <c r="N26" s="33">
        <f>'ТСЖ 2 кв.2022г.'!N26</f>
        <v>532320</v>
      </c>
      <c r="O26" s="105">
        <f t="shared" si="5"/>
        <v>437276.49000000011</v>
      </c>
      <c r="P26" s="44">
        <v>235115.53</v>
      </c>
      <c r="Q26" s="46">
        <f>K26/J26*100</f>
        <v>87.793859452858641</v>
      </c>
      <c r="S26" s="93">
        <f t="shared" si="1"/>
        <v>134804.77000000014</v>
      </c>
      <c r="T26" s="93">
        <f t="shared" si="2"/>
        <v>136374.21999999997</v>
      </c>
      <c r="V26" s="93">
        <f t="shared" si="4"/>
        <v>532320</v>
      </c>
      <c r="Y26" s="92">
        <v>33696.870000000003</v>
      </c>
      <c r="Z26" s="92">
        <v>2349.83</v>
      </c>
    </row>
    <row r="27" spans="1:26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2094.5</v>
      </c>
      <c r="G27" s="32">
        <v>5.3</v>
      </c>
      <c r="H27" s="33">
        <f>'ТСЖ 2 кв.2022г.'!H27-'ТСЖ 2 кв.2022г.'!I27+W27+Y27+Z27</f>
        <v>165208.90999999995</v>
      </c>
      <c r="I27" s="33">
        <f>29671.83+11.11</f>
        <v>29682.940000000002</v>
      </c>
      <c r="J27" s="33">
        <f>'ТСЖ 2 кв.2022г.'!J27+Y27+Z27+W27</f>
        <v>1090067.4900000002</v>
      </c>
      <c r="K27" s="33">
        <f>'ТСЖ 2 кв.2022г.'!K27+'ТСЖ 3 кв.2022г.'!I27</f>
        <v>955972.40000000014</v>
      </c>
      <c r="L27" s="43"/>
      <c r="M27" s="66"/>
      <c r="N27" s="33">
        <f>'ТСЖ 2 кв.2022г.'!N27</f>
        <v>475020</v>
      </c>
      <c r="O27" s="121">
        <f t="shared" si="5"/>
        <v>480952.40000000014</v>
      </c>
      <c r="P27" s="44">
        <v>287247.24</v>
      </c>
      <c r="Q27" s="46">
        <f>K27/J27*100</f>
        <v>87.698459844903738</v>
      </c>
      <c r="S27" s="93">
        <f t="shared" si="1"/>
        <v>134095.09000000008</v>
      </c>
      <c r="T27" s="93">
        <f t="shared" si="2"/>
        <v>135525.96999999994</v>
      </c>
      <c r="V27" s="93">
        <f t="shared" si="4"/>
        <v>475020</v>
      </c>
      <c r="Y27" s="92">
        <v>33302.550000000003</v>
      </c>
      <c r="Z27" s="92">
        <v>1963.21</v>
      </c>
    </row>
    <row r="28" spans="1:26" s="92" customFormat="1" ht="51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2 кв.2022г.'!H28-'ТСЖ 2 кв.2022г.'!I28+W28+Y28+Z28</f>
        <v>183036.49000000002</v>
      </c>
      <c r="I28" s="33">
        <f>41778.47+332.32</f>
        <v>42110.79</v>
      </c>
      <c r="J28" s="33">
        <f>'ТСЖ 2 кв.2022г.'!J28+Y28+Z28+W28</f>
        <v>1676104.3400000003</v>
      </c>
      <c r="K28" s="33">
        <f>'ТСЖ 2 кв.2022г.'!K28+'ТСЖ 3 кв.2022г.'!I28</f>
        <v>1538103.5199999998</v>
      </c>
      <c r="L28" s="43"/>
      <c r="M28" s="33"/>
      <c r="N28" s="33">
        <f>'ТСЖ 2 кв.2022г.'!N28</f>
        <v>774822</v>
      </c>
      <c r="O28" s="105">
        <f>K28-V28</f>
        <v>763281.51999999979</v>
      </c>
      <c r="P28" s="44">
        <v>354498.41</v>
      </c>
      <c r="Q28" s="46">
        <f t="shared" si="3"/>
        <v>91.766573434205142</v>
      </c>
      <c r="S28" s="93">
        <f t="shared" si="1"/>
        <v>138000.82000000053</v>
      </c>
      <c r="T28" s="93">
        <f t="shared" si="2"/>
        <v>140925.70000000001</v>
      </c>
      <c r="U28" s="93"/>
      <c r="V28" s="93">
        <f t="shared" si="4"/>
        <v>774822</v>
      </c>
      <c r="Y28" s="92">
        <v>51287.040000000001</v>
      </c>
      <c r="Z28" s="92">
        <v>2337.7600000000002</v>
      </c>
    </row>
    <row r="29" spans="1:26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2 кв.2022г.'!H29-'ТСЖ 2 кв.2022г.'!I29+W29+Y29+Z29</f>
        <v>167074.77999999988</v>
      </c>
      <c r="I29" s="33">
        <f>24865.15+60.98</f>
        <v>24926.13</v>
      </c>
      <c r="J29" s="33">
        <f>'ТСЖ 2 кв.2022г.'!J29+Y29+Z29+W29</f>
        <v>1111426.9299999997</v>
      </c>
      <c r="K29" s="33">
        <f>'ТСЖ 2 кв.2022г.'!K29+'ТСЖ 3 кв.2022г.'!I29</f>
        <v>970801.9800000001</v>
      </c>
      <c r="L29" s="43"/>
      <c r="M29" s="66"/>
      <c r="N29" s="33">
        <f>'ТСЖ 2 кв.2022г.'!N29</f>
        <v>721587</v>
      </c>
      <c r="O29" s="105">
        <f>K29-V29</f>
        <v>249214.9800000001</v>
      </c>
      <c r="P29" s="44">
        <v>309141.18</v>
      </c>
      <c r="Q29" s="46">
        <f>K29/J29*100</f>
        <v>87.347350851036182</v>
      </c>
      <c r="S29" s="48">
        <f t="shared" si="1"/>
        <v>140624.9499999996</v>
      </c>
      <c r="T29" s="48">
        <f t="shared" si="2"/>
        <v>142148.64999999988</v>
      </c>
      <c r="V29" s="93">
        <f t="shared" si="4"/>
        <v>721587</v>
      </c>
      <c r="Y29" s="49">
        <v>33954.449999999997</v>
      </c>
      <c r="Z29" s="49">
        <v>2399.04</v>
      </c>
    </row>
    <row r="30" spans="1:26" ht="12.75" customHeight="1">
      <c r="A30" s="2"/>
      <c r="S30" s="3">
        <f>SUM(S15:S29)</f>
        <v>1884930.1799999997</v>
      </c>
      <c r="Y30" s="100">
        <f>SUM(Y15:Y29)</f>
        <v>550414.11999999988</v>
      </c>
      <c r="Z30" s="100">
        <f>SUM(Z15:Z29)</f>
        <v>30518.370000000003</v>
      </c>
    </row>
    <row r="31" spans="1:26" ht="15.75">
      <c r="A31" s="4" t="s">
        <v>76</v>
      </c>
      <c r="C31" s="17"/>
      <c r="D31" s="17"/>
      <c r="E31" s="17"/>
      <c r="F31" s="17"/>
      <c r="G31" s="17"/>
      <c r="H31" s="17"/>
      <c r="I31" s="26"/>
      <c r="Z31">
        <f>30920.5-11578.06</f>
        <v>19342.440000000002</v>
      </c>
    </row>
    <row r="32" spans="1:26" ht="18.75" customHeight="1">
      <c r="A32" s="2"/>
      <c r="B32" s="107" t="s">
        <v>164</v>
      </c>
      <c r="C32" s="202" t="s">
        <v>361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Y32" s="100"/>
    </row>
    <row r="33" spans="1:15" hidden="1">
      <c r="A33" s="2"/>
      <c r="B33" s="108" t="s">
        <v>165</v>
      </c>
      <c r="C33" s="202" t="s">
        <v>303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 hidden="1">
      <c r="A34" s="2"/>
      <c r="B34" s="108" t="s">
        <v>166</v>
      </c>
      <c r="C34" s="202" t="s">
        <v>336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15" ht="15.75" hidden="1" customHeight="1">
      <c r="A35" s="2"/>
      <c r="B35" s="108" t="s">
        <v>167</v>
      </c>
      <c r="C35" s="202" t="s">
        <v>337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15" ht="15.75" hidden="1" customHeight="1">
      <c r="A36" s="2"/>
      <c r="B36" s="108" t="s">
        <v>168</v>
      </c>
      <c r="C36" s="202" t="s">
        <v>338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15" hidden="1">
      <c r="A37" s="2"/>
      <c r="B37" s="108" t="s">
        <v>165</v>
      </c>
      <c r="C37" s="202" t="s">
        <v>339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15" hidden="1">
      <c r="A38" s="2"/>
      <c r="B38" s="108" t="s">
        <v>166</v>
      </c>
      <c r="C38" s="202" t="s">
        <v>340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15" ht="15.75" hidden="1" customHeight="1">
      <c r="A39" s="2"/>
      <c r="B39" s="108" t="s">
        <v>167</v>
      </c>
      <c r="C39" s="202" t="s">
        <v>341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15" ht="15.75" hidden="1" customHeight="1">
      <c r="A40" s="2"/>
      <c r="B40" s="108" t="s">
        <v>168</v>
      </c>
      <c r="C40" s="202" t="s">
        <v>342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5" ht="15" hidden="1" customHeight="1">
      <c r="A41" s="2"/>
      <c r="B41" s="108" t="s">
        <v>171</v>
      </c>
      <c r="C41" s="202" t="s">
        <v>343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15" ht="15.75" hidden="1" customHeight="1">
      <c r="A42" s="2"/>
      <c r="B42" s="108" t="s">
        <v>176</v>
      </c>
      <c r="C42" s="202" t="s">
        <v>344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15" ht="15.75" hidden="1" customHeight="1">
      <c r="A43" s="2"/>
      <c r="B43" s="108" t="s">
        <v>177</v>
      </c>
      <c r="C43" s="202" t="s">
        <v>345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15" ht="15.75">
      <c r="A44" s="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s="27" customFormat="1" ht="15.75">
      <c r="A45" s="4" t="str">
        <f>'УК 3кв. 2022г.'!A39</f>
        <v>04 октября 2022г.</v>
      </c>
      <c r="I45" s="28"/>
    </row>
    <row r="46" spans="1:15" s="27" customFormat="1" ht="15.75">
      <c r="A46" s="4"/>
      <c r="I46" s="28"/>
    </row>
    <row r="47" spans="1:15" s="27" customFormat="1" ht="15.75">
      <c r="A47" s="4"/>
      <c r="I47" s="28"/>
    </row>
    <row r="48" spans="1:15" s="27" customFormat="1" ht="15.75">
      <c r="A48" s="4" t="s">
        <v>47</v>
      </c>
      <c r="I48" s="28"/>
    </row>
    <row r="49" spans="1:11" s="27" customFormat="1" ht="15.75" hidden="1">
      <c r="A49" s="30" t="s">
        <v>48</v>
      </c>
      <c r="I49" s="28"/>
    </row>
    <row r="50" spans="1:11">
      <c r="A50" s="1"/>
    </row>
    <row r="51" spans="1:11">
      <c r="A51" s="1"/>
      <c r="K51" s="3"/>
    </row>
    <row r="52" spans="1:11">
      <c r="A52" s="1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</sheetData>
  <mergeCells count="36">
    <mergeCell ref="C43:O43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F11:F13"/>
    <mergeCell ref="G11:G13"/>
    <mergeCell ref="H11:I11"/>
    <mergeCell ref="J11:K11"/>
    <mergeCell ref="L11:N11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A12" zoomScaleNormal="100" workbookViewId="0">
      <selection activeCell="O15" sqref="O15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3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3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3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3" ht="15.75">
      <c r="A4" s="158" t="s">
        <v>354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3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3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3" ht="15.75">
      <c r="A7" s="1" t="s">
        <v>7</v>
      </c>
      <c r="D7" s="18" t="s">
        <v>51</v>
      </c>
      <c r="E7" s="17"/>
      <c r="F7" s="17"/>
      <c r="G7" s="17"/>
      <c r="H7" s="17"/>
    </row>
    <row r="8" spans="1:23">
      <c r="A8" s="1" t="s">
        <v>8</v>
      </c>
    </row>
    <row r="9" spans="1:23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3" ht="15.75">
      <c r="A10" s="18" t="s">
        <v>61</v>
      </c>
    </row>
    <row r="11" spans="1:23" ht="15.75">
      <c r="A11" s="18" t="s">
        <v>62</v>
      </c>
    </row>
    <row r="12" spans="1:23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3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3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3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3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1кв. 2022г.'!H16-'УК 1кв. 2022г.'!I16+V16+W16+X16</f>
        <v>352160.05999999994</v>
      </c>
      <c r="I16" s="33">
        <v>139088.54999999999</v>
      </c>
      <c r="J16" s="33">
        <f>'УК 1кв. 2022г.'!J16+'УК 2кв. 2022г.'!V16+'УК 2кв. 2022г.'!W16</f>
        <v>4684076.0299999993</v>
      </c>
      <c r="K16" s="33">
        <f>'УК 1кв. 2022г.'!K16+'УК 2кв. 2022г.'!I16</f>
        <v>4551781.21</v>
      </c>
      <c r="L16" s="64"/>
      <c r="M16" s="47"/>
      <c r="N16" s="33">
        <f>'УК 1кв. 2022г.'!N16</f>
        <v>894970.86</v>
      </c>
      <c r="O16" s="33">
        <f>K16-N16</f>
        <v>3656810.35</v>
      </c>
      <c r="P16" s="110">
        <f>K16/J16*100</f>
        <v>97.175647467020312</v>
      </c>
      <c r="R16" s="19">
        <f>J16-K16</f>
        <v>132294.81999999937</v>
      </c>
      <c r="S16" s="19">
        <f>H16-I16</f>
        <v>213071.50999999995</v>
      </c>
      <c r="V16" s="15">
        <v>148148.28</v>
      </c>
      <c r="W16" s="15">
        <v>1233.1199999999999</v>
      </c>
    </row>
    <row r="17" spans="1:23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1кв. 2022г.'!H17-'УК 1кв. 2022г.'!I17+V17+W17+X17</f>
        <v>125899.12000000002</v>
      </c>
      <c r="I17" s="33">
        <v>67195.67</v>
      </c>
      <c r="J17" s="33">
        <f>'УК 1кв. 2022г.'!J17+'УК 2кв. 2022г.'!V17+'УК 2кв. 2022г.'!W17</f>
        <v>1362561.3700000003</v>
      </c>
      <c r="K17" s="33">
        <f>'УК 1кв. 2022г.'!K17+'УК 2кв. 2022г.'!I17</f>
        <v>1303857.9200000002</v>
      </c>
      <c r="L17" s="32"/>
      <c r="M17" s="32"/>
      <c r="N17" s="33">
        <f>'УК 1кв. 2022г.'!N17</f>
        <v>0</v>
      </c>
      <c r="O17" s="33">
        <f>K17-N17</f>
        <v>1303857.9200000002</v>
      </c>
      <c r="P17" s="110">
        <f t="shared" ref="P17:P21" si="0">K17/J17*100</f>
        <v>95.691683964297312</v>
      </c>
      <c r="R17" s="19">
        <f>J17-K17</f>
        <v>58703.450000000186</v>
      </c>
      <c r="S17" s="19">
        <f>H17-I17</f>
        <v>58703.450000000026</v>
      </c>
      <c r="V17" s="114">
        <v>67720.320000000007</v>
      </c>
      <c r="W17" s="15">
        <v>1000.18</v>
      </c>
    </row>
    <row r="18" spans="1:23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1кв. 2022г.'!H18-'УК 1кв. 2022г.'!I18+V18+W18+X18</f>
        <v>469778.54</v>
      </c>
      <c r="I18" s="33">
        <v>44715.19</v>
      </c>
      <c r="J18" s="33">
        <f>'УК 1кв. 2022г.'!J18+'УК 2кв. 2022г.'!V18+'УК 2кв. 2022г.'!W18</f>
        <v>1737784.6800000002</v>
      </c>
      <c r="K18" s="33">
        <f>'УК 1кв. 2022г.'!K18+'УК 2кв. 2022г.'!I18</f>
        <v>1312721.3299999998</v>
      </c>
      <c r="L18" s="34"/>
      <c r="M18" s="89"/>
      <c r="N18" s="33">
        <f>'УК 1кв. 2022г.'!N18</f>
        <v>150967</v>
      </c>
      <c r="O18" s="33">
        <f>K18-N18</f>
        <v>1161754.3299999998</v>
      </c>
      <c r="P18" s="110">
        <f t="shared" si="0"/>
        <v>75.539929952656721</v>
      </c>
      <c r="R18" s="19">
        <f>J18-K18</f>
        <v>425063.35000000033</v>
      </c>
      <c r="S18" s="19">
        <f>H18-I18</f>
        <v>425063.35</v>
      </c>
      <c r="V18" s="114">
        <f>55277.73+89.16</f>
        <v>55366.890000000007</v>
      </c>
      <c r="W18" s="15">
        <v>9415.94</v>
      </c>
    </row>
    <row r="19" spans="1:23" s="15" customFormat="1" ht="48.75" customHeight="1">
      <c r="A19" s="32">
        <v>1</v>
      </c>
      <c r="B19" s="32" t="s">
        <v>28</v>
      </c>
      <c r="C19" s="103" t="s">
        <v>92</v>
      </c>
      <c r="D19" s="32">
        <v>2012</v>
      </c>
      <c r="E19" s="32"/>
      <c r="F19" s="33">
        <v>2729.9</v>
      </c>
      <c r="G19" s="32">
        <v>7.32</v>
      </c>
      <c r="H19" s="33">
        <f>'УК 1кв. 2022г.'!H19-'УК 1кв. 2022г.'!I19+V19+W19+X19</f>
        <v>311113.36999999994</v>
      </c>
      <c r="I19" s="33">
        <v>76587.05</v>
      </c>
      <c r="J19" s="33">
        <f>'УК 1кв. 2022г.'!J19+'УК 2кв. 2022г.'!V19+'УК 2кв. 2022г.'!W19</f>
        <v>1935590.57</v>
      </c>
      <c r="K19" s="33">
        <f>'УК 1кв. 2022г.'!K19+'УК 2кв. 2022г.'!I19</f>
        <v>1701064.25</v>
      </c>
      <c r="L19" s="43"/>
      <c r="M19" s="91"/>
      <c r="N19" s="33">
        <f>'УК 1кв. 2022г.'!N19</f>
        <v>104440.4</v>
      </c>
      <c r="O19" s="33">
        <f t="shared" ref="O19:O23" si="1">K19-N19</f>
        <v>1596623.85</v>
      </c>
      <c r="P19" s="110">
        <f t="shared" si="0"/>
        <v>87.883474757784128</v>
      </c>
      <c r="R19" s="19">
        <f>J19-K19</f>
        <v>234526.32000000007</v>
      </c>
      <c r="S19" s="19">
        <f t="shared" ref="S19:S21" si="2">H19-I19</f>
        <v>234526.31999999995</v>
      </c>
      <c r="U19" s="19"/>
      <c r="V19" s="114">
        <v>59948.61</v>
      </c>
      <c r="W19" s="15">
        <v>2979.43</v>
      </c>
    </row>
    <row r="20" spans="1:23" ht="30" customHeight="1">
      <c r="A20" s="32">
        <v>1</v>
      </c>
      <c r="B20" s="32" t="s">
        <v>28</v>
      </c>
      <c r="C20" s="103" t="s">
        <v>152</v>
      </c>
      <c r="D20" s="32">
        <v>2007</v>
      </c>
      <c r="E20" s="32"/>
      <c r="F20" s="33">
        <v>2918.7</v>
      </c>
      <c r="G20" s="32">
        <v>7.32</v>
      </c>
      <c r="H20" s="33">
        <f>'УК 1кв. 2022г.'!H20+V20+W20+X20</f>
        <v>46680.369999999974</v>
      </c>
      <c r="I20" s="33">
        <v>59499.28</v>
      </c>
      <c r="J20" s="33">
        <f>'УК 1кв. 2022г.'!J20+'УК 2кв. 2022г.'!V20+'УК 2кв. 2022г.'!W20</f>
        <v>2057898.32</v>
      </c>
      <c r="K20" s="33">
        <f>'УК 1кв. 2022г.'!K20+'УК 2кв. 2022г.'!I20</f>
        <v>1811478.8600000003</v>
      </c>
      <c r="L20" s="32"/>
      <c r="M20" s="32"/>
      <c r="N20" s="33">
        <f>'УК 1кв. 2022г.'!N20</f>
        <v>650595</v>
      </c>
      <c r="O20" s="33">
        <f t="shared" si="1"/>
        <v>1160883.8600000003</v>
      </c>
      <c r="P20" s="110">
        <f t="shared" si="0"/>
        <v>88.025673688289913</v>
      </c>
      <c r="R20" s="19">
        <f>J20-K20</f>
        <v>246419.45999999973</v>
      </c>
      <c r="S20" s="19">
        <f t="shared" si="2"/>
        <v>-12818.910000000025</v>
      </c>
      <c r="V20" s="115">
        <v>64094.67</v>
      </c>
      <c r="W20" s="13">
        <v>3196.1</v>
      </c>
    </row>
    <row r="21" spans="1:23" ht="35.25" customHeight="1">
      <c r="A21" s="32">
        <v>1</v>
      </c>
      <c r="B21" s="32" t="s">
        <v>28</v>
      </c>
      <c r="C21" s="103" t="s">
        <v>274</v>
      </c>
      <c r="D21" s="32">
        <v>2018</v>
      </c>
      <c r="E21" s="32"/>
      <c r="F21" s="33">
        <v>4764.6000000000004</v>
      </c>
      <c r="G21" s="32">
        <v>7.32</v>
      </c>
      <c r="H21" s="33">
        <f>'УК 1кв. 2022г.'!H21-'УК 1кв. 2022г.'!I21+V21+W21+X21</f>
        <v>244087.00000000003</v>
      </c>
      <c r="I21" s="33">
        <v>92414.62</v>
      </c>
      <c r="J21" s="33">
        <f>'УК 1кв. 2022г.'!J21+'УК 2кв. 2022г.'!V21+'УК 2кв. 2022г.'!W21</f>
        <v>741622.53000000014</v>
      </c>
      <c r="K21" s="33">
        <f>'УК 1кв. 2022г.'!K21+'УК 2кв. 2022г.'!I21</f>
        <v>589950.30000000005</v>
      </c>
      <c r="L21" s="32"/>
      <c r="M21" s="32"/>
      <c r="N21" s="33">
        <f>'УК 1кв. 2022г.'!N21</f>
        <v>0</v>
      </c>
      <c r="O21" s="33">
        <f t="shared" si="1"/>
        <v>589950.30000000005</v>
      </c>
      <c r="P21" s="110">
        <f t="shared" si="0"/>
        <v>79.548594619961179</v>
      </c>
      <c r="R21" s="19">
        <f t="shared" ref="R21:R23" si="3">J21-K21</f>
        <v>151672.2300000001</v>
      </c>
      <c r="S21" s="19">
        <f t="shared" si="2"/>
        <v>151672.38000000003</v>
      </c>
      <c r="V21" s="115">
        <v>104630.49</v>
      </c>
      <c r="W21" s="13">
        <v>1727.91</v>
      </c>
    </row>
    <row r="22" spans="1:23" ht="30.75" customHeight="1">
      <c r="A22" s="32">
        <v>1</v>
      </c>
      <c r="B22" s="32" t="s">
        <v>28</v>
      </c>
      <c r="C22" s="103" t="s">
        <v>347</v>
      </c>
      <c r="D22" s="32">
        <v>2007</v>
      </c>
      <c r="E22" s="32"/>
      <c r="F22" s="33">
        <v>1202.9000000000001</v>
      </c>
      <c r="G22" s="32">
        <v>5.3</v>
      </c>
      <c r="H22" s="33">
        <f>'УК 1кв. 2022г.'!H22-'УК 1кв. 2022г.'!I22+V22+W22+X22</f>
        <v>206842.59000000003</v>
      </c>
      <c r="I22" s="33">
        <v>74383.77</v>
      </c>
      <c r="J22" s="33">
        <f>'УК 1кв. 2022г.'!J22+'УК 2кв. 2022г.'!V22+'УК 2кв. 2022г.'!W22</f>
        <v>576095.48</v>
      </c>
      <c r="K22" s="33">
        <f>'УК 1кв. 2022г.'!K22+'УК 2кв. 2022г.'!I22</f>
        <v>443636.66000000003</v>
      </c>
      <c r="L22" s="32"/>
      <c r="M22" s="32"/>
      <c r="N22" s="33">
        <f>'УК 1кв. 2022г.'!N22</f>
        <v>0</v>
      </c>
      <c r="O22" s="33">
        <f>K22-N22</f>
        <v>443636.66000000003</v>
      </c>
      <c r="P22" s="110">
        <f>K22/J22*100</f>
        <v>77.007488411469581</v>
      </c>
      <c r="R22" s="19">
        <f t="shared" si="3"/>
        <v>132458.81999999995</v>
      </c>
      <c r="S22" s="19"/>
      <c r="V22" s="115">
        <v>19126.11</v>
      </c>
      <c r="W22" s="13">
        <v>744.2</v>
      </c>
    </row>
    <row r="23" spans="1:23" ht="30.75" customHeight="1">
      <c r="A23" s="32">
        <v>1</v>
      </c>
      <c r="B23" s="32" t="s">
        <v>28</v>
      </c>
      <c r="C23" s="103" t="s">
        <v>327</v>
      </c>
      <c r="D23" s="32">
        <v>2006</v>
      </c>
      <c r="E23" s="32"/>
      <c r="F23" s="33">
        <v>1201.8</v>
      </c>
      <c r="G23" s="32">
        <v>5.3</v>
      </c>
      <c r="H23" s="33">
        <f>'УК 1кв. 2022г.'!H23-'УК 1кв. 2022г.'!I23+V23+W23+X23</f>
        <v>174623.25999999998</v>
      </c>
      <c r="I23" s="33">
        <v>11181.22</v>
      </c>
      <c r="J23" s="33">
        <f>'УК 1кв. 2022г.'!J23+'УК 2кв. 2022г.'!V23+'УК 2кв. 2022г.'!W23</f>
        <v>510432.99</v>
      </c>
      <c r="K23" s="33">
        <f>'УК 1кв. 2022г.'!K23+'УК 2кв. 2022г.'!I23</f>
        <v>346990.94999999995</v>
      </c>
      <c r="L23" s="32"/>
      <c r="M23" s="32"/>
      <c r="N23" s="33">
        <f>'УК 1кв. 2022г.'!N23</f>
        <v>0</v>
      </c>
      <c r="O23" s="33">
        <f t="shared" si="1"/>
        <v>346990.94999999995</v>
      </c>
      <c r="P23" s="110">
        <f>K23/J23*100</f>
        <v>67.979726388766508</v>
      </c>
      <c r="R23" s="19">
        <f t="shared" si="3"/>
        <v>163442.04000000004</v>
      </c>
      <c r="S23" s="19"/>
      <c r="V23" s="115">
        <v>19108.62</v>
      </c>
      <c r="W23" s="13">
        <f>2400.81-2.14</f>
        <v>2398.67</v>
      </c>
    </row>
    <row r="24" spans="1:23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13">
        <f>SUM(V16:V23)</f>
        <v>538143.99</v>
      </c>
      <c r="W24" s="13">
        <f>SUM(W16:W23)</f>
        <v>22695.550000000003</v>
      </c>
    </row>
    <row r="25" spans="1:23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3" s="17" customFormat="1" ht="15.75" hidden="1">
      <c r="A26" s="4"/>
      <c r="C26" s="90" t="s">
        <v>356</v>
      </c>
      <c r="D26" s="90"/>
      <c r="E26" s="90"/>
      <c r="F26" s="90"/>
      <c r="G26" s="90"/>
      <c r="H26" s="90"/>
      <c r="I26" s="90"/>
      <c r="J26" s="90"/>
      <c r="K26" s="90"/>
      <c r="L26" s="4"/>
      <c r="P26" s="62"/>
    </row>
    <row r="27" spans="1:23" s="62" customFormat="1" ht="21.75" hidden="1" customHeight="1">
      <c r="A27" s="111"/>
      <c r="C27" s="15" t="s">
        <v>357</v>
      </c>
      <c r="D27" s="15"/>
      <c r="E27" s="15"/>
      <c r="F27" s="15"/>
      <c r="G27" s="15"/>
      <c r="H27" s="15"/>
      <c r="I27" s="15"/>
      <c r="J27" s="15"/>
      <c r="K27" s="15"/>
    </row>
    <row r="28" spans="1:23" s="17" customFormat="1" ht="15.75" hidden="1">
      <c r="A28" s="4"/>
      <c r="C28" s="13" t="s">
        <v>288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3" s="17" customFormat="1" ht="15.75" hidden="1">
      <c r="A29" s="4"/>
      <c r="C29" s="13" t="s">
        <v>289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3" s="17" customFormat="1" ht="15.75" hidden="1">
      <c r="A30" s="4"/>
      <c r="C30" s="13" t="s">
        <v>290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3" s="17" customFormat="1" ht="15.75" hidden="1">
      <c r="A31" s="4"/>
      <c r="C31" s="13" t="s">
        <v>291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3" s="17" customFormat="1" ht="15.75" hidden="1">
      <c r="A32" s="4"/>
      <c r="C32" s="13" t="s">
        <v>292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25" customFormat="1" ht="18.75" hidden="1" customHeight="1">
      <c r="A33" s="2"/>
      <c r="B33" s="107" t="s">
        <v>164</v>
      </c>
      <c r="C33" s="182" t="s">
        <v>353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Y33" s="100"/>
    </row>
    <row r="34" spans="1:25" s="17" customFormat="1" ht="15.75">
      <c r="A34" s="4"/>
      <c r="C34" s="13"/>
      <c r="D34" s="13"/>
      <c r="E34" s="13"/>
      <c r="F34" s="13"/>
      <c r="G34" s="13"/>
      <c r="H34" s="13"/>
      <c r="I34" s="13"/>
      <c r="J34" s="13"/>
      <c r="K34" s="13"/>
      <c r="P34" s="62"/>
    </row>
    <row r="35" spans="1:25" s="17" customFormat="1" ht="15.75">
      <c r="A35" s="4"/>
      <c r="C35" s="13"/>
      <c r="D35" s="13"/>
      <c r="E35" s="13"/>
      <c r="F35" s="13"/>
      <c r="G35" s="13"/>
      <c r="H35" s="13"/>
      <c r="I35" s="13"/>
      <c r="J35" s="13"/>
      <c r="K35" s="13"/>
      <c r="P35" s="62"/>
    </row>
    <row r="36" spans="1:25" s="17" customFormat="1" ht="15.75">
      <c r="A36" s="4" t="s">
        <v>355</v>
      </c>
      <c r="P36" s="62"/>
    </row>
    <row r="37" spans="1:25" s="17" customFormat="1" ht="15.75">
      <c r="A37" s="4" t="s">
        <v>59</v>
      </c>
      <c r="P37" s="62"/>
    </row>
    <row r="38" spans="1:25" s="17" customFormat="1" ht="15.75">
      <c r="A38" s="4"/>
      <c r="P38" s="62"/>
    </row>
    <row r="39" spans="1:25">
      <c r="A39" s="2" t="s">
        <v>48</v>
      </c>
    </row>
  </sheetData>
  <mergeCells count="26">
    <mergeCell ref="D9:L9"/>
    <mergeCell ref="A1:P1"/>
    <mergeCell ref="A2:P2"/>
    <mergeCell ref="A3:O3"/>
    <mergeCell ref="A4:O4"/>
    <mergeCell ref="D6:M6"/>
    <mergeCell ref="A12:A14"/>
    <mergeCell ref="B12:B14"/>
    <mergeCell ref="C12:C14"/>
    <mergeCell ref="D12:D14"/>
    <mergeCell ref="E12:E14"/>
    <mergeCell ref="P12:P14"/>
    <mergeCell ref="H13:H14"/>
    <mergeCell ref="I13:I14"/>
    <mergeCell ref="J13:J14"/>
    <mergeCell ref="K13:K14"/>
    <mergeCell ref="L13:L14"/>
    <mergeCell ref="M13:M14"/>
    <mergeCell ref="N13:N14"/>
    <mergeCell ref="C33:O33"/>
    <mergeCell ref="G12:G14"/>
    <mergeCell ref="H12:I12"/>
    <mergeCell ref="J12:K12"/>
    <mergeCell ref="L12:N12"/>
    <mergeCell ref="O12:O14"/>
    <mergeCell ref="F12:F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4"/>
  <sheetViews>
    <sheetView topLeftCell="A7" workbookViewId="0">
      <selection activeCell="O15" sqref="O15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2кв. 2022г.'!A4:O4</f>
        <v xml:space="preserve">по состоянию за 2 квартал 2022 года на 01 июля 2022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6.75" customHeight="1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1 кв.2022г.'!H15-'ТСЖ 1 кв.2022г.'!I15+W15+Y15+Z15</f>
        <v>355859.06000000006</v>
      </c>
      <c r="I15" s="33">
        <f>70560.36+165.18+W15</f>
        <v>72784.079999999987</v>
      </c>
      <c r="J15" s="33">
        <f>'ТСЖ 1 кв.2022г.'!J15+Y15+Z15+W15</f>
        <v>2393008.5000000005</v>
      </c>
      <c r="K15" s="33">
        <f>'ТСЖ 1 кв.2022г.'!K15+'ТСЖ 2 кв.2022г.'!I15</f>
        <v>2123182.4499999997</v>
      </c>
      <c r="L15" s="43"/>
      <c r="M15" s="66"/>
      <c r="N15" s="33">
        <f>'ТСЖ 1 кв.2022г.'!N15</f>
        <v>426357.21</v>
      </c>
      <c r="O15" s="121">
        <f>K15-V15</f>
        <v>1696825.2399999998</v>
      </c>
      <c r="P15" s="74">
        <v>520817.08</v>
      </c>
      <c r="Q15" s="46">
        <f>K15/J15*100</f>
        <v>88.724400686416246</v>
      </c>
      <c r="S15" s="48">
        <f>J15-K15+16536.37</f>
        <v>286362.42000000074</v>
      </c>
      <c r="T15" s="48">
        <f>H15-I15</f>
        <v>283074.9800000001</v>
      </c>
      <c r="V15" s="48">
        <v>426357.21</v>
      </c>
      <c r="W15" s="49">
        <v>2058.54</v>
      </c>
      <c r="Y15" s="49">
        <f>75555.21-4273.56</f>
        <v>71281.650000000009</v>
      </c>
      <c r="Z15" s="49">
        <f>4737.49-1717.9</f>
        <v>3019.5899999999997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1 кв.2022г.'!H16-'ТСЖ 1 кв.2022г.'!I16+W16+Y16+Z16</f>
        <v>93474.489999999991</v>
      </c>
      <c r="I16" s="33">
        <f>22964.09+124.33</f>
        <v>23088.420000000002</v>
      </c>
      <c r="J16" s="33">
        <f>'ТСЖ 1 кв.2022г.'!J16+Y16+Z16+W16</f>
        <v>957894.58000000031</v>
      </c>
      <c r="K16" s="33">
        <f>'ТСЖ 1 кв.2022г.'!K16+'ТСЖ 2 кв.2022г.'!I16</f>
        <v>888470.4600000002</v>
      </c>
      <c r="L16" s="43"/>
      <c r="M16" s="66"/>
      <c r="N16" s="33">
        <f>'ТСЖ 1 кв.2022г.'!N16</f>
        <v>221688.82</v>
      </c>
      <c r="O16" s="105">
        <f t="shared" ref="O16:O22" si="0">K16-V16</f>
        <v>666781.64000000013</v>
      </c>
      <c r="P16" s="78">
        <v>264064.82</v>
      </c>
      <c r="Q16" s="46">
        <f>K16/J16*100</f>
        <v>92.75242584627631</v>
      </c>
      <c r="S16" s="48">
        <f t="shared" ref="S16:S29" si="1">J16-K16+W16</f>
        <v>69424.120000000112</v>
      </c>
      <c r="T16" s="48">
        <f t="shared" ref="T16:T29" si="2">H16-I16</f>
        <v>70386.069999999992</v>
      </c>
      <c r="V16" s="48">
        <v>221688.82</v>
      </c>
      <c r="Y16" s="49">
        <f>30349.92+961.45</f>
        <v>31311.37</v>
      </c>
      <c r="Z16" s="49">
        <f>1348.07-452.96</f>
        <v>895.1099999999999</v>
      </c>
    </row>
    <row r="17" spans="1:26" s="49" customFormat="1" ht="39.75" customHeight="1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1 кв.2022г.'!H17-'ТСЖ 1 кв.2022г.'!I17+W17+Y17+Z17</f>
        <v>176407.15000000002</v>
      </c>
      <c r="I17" s="61">
        <v>27983.42</v>
      </c>
      <c r="J17" s="33">
        <f>'ТСЖ 1 кв.2022г.'!J17+Y17+Z17+W17</f>
        <v>985009.8599999994</v>
      </c>
      <c r="K17" s="33">
        <f>'ТСЖ 1 кв.2022г.'!K17+'ТСЖ 2 кв.2022г.'!I17</f>
        <v>838323.17</v>
      </c>
      <c r="L17" s="72"/>
      <c r="M17" s="73"/>
      <c r="N17" s="33">
        <f>'ТСЖ 1 кв.2022г.'!N17</f>
        <v>476040</v>
      </c>
      <c r="O17" s="106">
        <f t="shared" si="0"/>
        <v>362283.17000000004</v>
      </c>
      <c r="P17" s="74">
        <v>253163.82</v>
      </c>
      <c r="Q17" s="65">
        <f>K17/J17*100</f>
        <v>85.108099324000733</v>
      </c>
      <c r="S17" s="48">
        <f t="shared" si="1"/>
        <v>146686.68999999936</v>
      </c>
      <c r="T17" s="48">
        <f t="shared" si="2"/>
        <v>148423.73000000004</v>
      </c>
      <c r="V17" s="48">
        <v>476040</v>
      </c>
      <c r="Y17" s="49">
        <f>1737.04+30962.07</f>
        <v>32699.11</v>
      </c>
      <c r="Z17" s="49">
        <f>2424.01-1031.01</f>
        <v>1393.0000000000002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1 кв.2022г.'!H18-'ТСЖ 1 кв.2022г.'!I18+W18+Y18+Z18</f>
        <v>291139.47000000009</v>
      </c>
      <c r="I18" s="61">
        <v>108780.75</v>
      </c>
      <c r="J18" s="33">
        <f>'ТСЖ 1 кв.2022г.'!J18+Y18+Z18+W18</f>
        <v>1506739.0499999993</v>
      </c>
      <c r="K18" s="33">
        <f>'ТСЖ 1 кв.2022г.'!K18+'ТСЖ 2 кв.2022г.'!I18</f>
        <v>1327000.04</v>
      </c>
      <c r="L18" s="72"/>
      <c r="M18" s="73"/>
      <c r="N18" s="33">
        <f>'ТСЖ 1 кв.2022г.'!N18</f>
        <v>731630</v>
      </c>
      <c r="O18" s="105">
        <f t="shared" si="0"/>
        <v>595370.04</v>
      </c>
      <c r="P18" s="44">
        <v>378042.71</v>
      </c>
      <c r="Q18" s="65">
        <f t="shared" ref="Q18:Q28" si="3">K18/J18*100</f>
        <v>88.070992784052464</v>
      </c>
      <c r="S18" s="48">
        <f t="shared" si="1"/>
        <v>179739.00999999931</v>
      </c>
      <c r="T18" s="48">
        <f t="shared" si="2"/>
        <v>182358.72000000009</v>
      </c>
      <c r="V18" s="48">
        <v>731630</v>
      </c>
      <c r="Y18" s="49">
        <f>2619.71+47506.55</f>
        <v>50126.26</v>
      </c>
      <c r="Z18" s="49">
        <f>3309.25-1513.6</f>
        <v>1795.65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1 кв.2022г.'!H19-'ТСЖ 1 кв.2022г.'!I19+W19+Y19+Z19</f>
        <v>151016.12000000002</v>
      </c>
      <c r="I19" s="33">
        <f>22640.71+55.19</f>
        <v>22695.899999999998</v>
      </c>
      <c r="J19" s="33">
        <f>'ТСЖ 1 кв.2022г.'!J19+Y19+Z19+W19</f>
        <v>857840.57999999973</v>
      </c>
      <c r="K19" s="33">
        <f>'ТСЖ 1 кв.2022г.'!K19+'ТСЖ 2 кв.2022г.'!I19</f>
        <v>730846.41</v>
      </c>
      <c r="L19" s="43"/>
      <c r="M19" s="66"/>
      <c r="N19" s="33">
        <f>'ТСЖ 1 кв.2022г.'!N19</f>
        <v>230810</v>
      </c>
      <c r="O19" s="105">
        <f t="shared" si="0"/>
        <v>500036.41000000003</v>
      </c>
      <c r="P19" s="44">
        <v>252978.03</v>
      </c>
      <c r="Q19" s="46">
        <f>K19/J19*100</f>
        <v>85.196064051901146</v>
      </c>
      <c r="S19" s="93">
        <f t="shared" si="1"/>
        <v>126994.16999999969</v>
      </c>
      <c r="T19" s="93">
        <f t="shared" si="2"/>
        <v>128320.22000000003</v>
      </c>
      <c r="V19" s="93">
        <v>230810</v>
      </c>
      <c r="Y19" s="92">
        <f>1320.2+27008.27</f>
        <v>28328.47</v>
      </c>
      <c r="Z19" s="92">
        <f>2174.08-763.56</f>
        <v>1410.52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1 кв.2022г.'!H20-'ТСЖ 1 кв.2022г.'!I20+W20+Y20+Z20</f>
        <v>68643.459999999977</v>
      </c>
      <c r="I20" s="33">
        <f>15121.45+0.51</f>
        <v>15121.960000000001</v>
      </c>
      <c r="J20" s="33">
        <f>'ТСЖ 1 кв.2022г.'!J20+Y20+Z20+W20</f>
        <v>597077.64999999991</v>
      </c>
      <c r="K20" s="33">
        <f>'ТСЖ 1 кв.2022г.'!K20+'ТСЖ 2 кв.2022г.'!I20</f>
        <v>544298.97</v>
      </c>
      <c r="L20" s="43"/>
      <c r="M20" s="66"/>
      <c r="N20" s="33">
        <f>'ТСЖ 1 кв.2022г.'!N20</f>
        <v>208003.99</v>
      </c>
      <c r="O20" s="121">
        <f t="shared" si="0"/>
        <v>336294.98</v>
      </c>
      <c r="P20" s="74">
        <v>124839.69</v>
      </c>
      <c r="Q20" s="46">
        <f t="shared" si="3"/>
        <v>91.160499811037994</v>
      </c>
      <c r="S20" s="93">
        <f t="shared" si="1"/>
        <v>52778.679999999935</v>
      </c>
      <c r="T20" s="93">
        <f t="shared" si="2"/>
        <v>53521.499999999978</v>
      </c>
      <c r="V20" s="93">
        <v>208003.99</v>
      </c>
      <c r="Y20" s="92">
        <f>741.06+18905.1</f>
        <v>19646.16</v>
      </c>
      <c r="Z20" s="92">
        <f>556.56-196.79</f>
        <v>359.77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1 кв.2022г.'!H21-'ТСЖ 1 кв.2022г.'!I21+W21+Y21+Z21</f>
        <v>175222.81000000003</v>
      </c>
      <c r="I21" s="61">
        <f>37817.12+266.34</f>
        <v>38083.46</v>
      </c>
      <c r="J21" s="33">
        <f>'ТСЖ 1 кв.2022г.'!J21+Y21+Z21+W21</f>
        <v>1213725.3800000001</v>
      </c>
      <c r="K21" s="33">
        <f>'ТСЖ 1 кв.2022г.'!K21+'ТСЖ 2 кв.2022г.'!I21</f>
        <v>1077800.5899999999</v>
      </c>
      <c r="L21" s="72"/>
      <c r="M21" s="61"/>
      <c r="N21" s="33">
        <f>'ТСЖ 1 кв.2022г.'!N21</f>
        <v>0</v>
      </c>
      <c r="O21" s="106">
        <f t="shared" si="0"/>
        <v>1077800.5899999999</v>
      </c>
      <c r="P21" s="44">
        <v>388089.32</v>
      </c>
      <c r="Q21" s="65">
        <f t="shared" si="3"/>
        <v>88.801025978380693</v>
      </c>
      <c r="S21" s="93">
        <f t="shared" si="1"/>
        <v>135924.79000000027</v>
      </c>
      <c r="T21" s="93">
        <f t="shared" si="2"/>
        <v>137139.35000000003</v>
      </c>
      <c r="Y21" s="92">
        <f>1248.18+38603.19</f>
        <v>39851.370000000003</v>
      </c>
      <c r="Z21" s="92">
        <f>1844.53-672.35</f>
        <v>1172.1799999999998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1 кв.2022г.'!H22-'ТСЖ 1 кв.2022г.'!I22+W22+Y22+Z22</f>
        <v>98762.340000000011</v>
      </c>
      <c r="I22" s="33">
        <f>33089.87+420.52</f>
        <v>33510.39</v>
      </c>
      <c r="J22" s="33">
        <f>'ТСЖ 1 кв.2022г.'!J22+Y22+Z22+W22</f>
        <v>1043527.1000000001</v>
      </c>
      <c r="K22" s="33">
        <f>'ТСЖ 1 кв.2022г.'!K22+'ТСЖ 2 кв.2022г.'!I22</f>
        <v>979528.3600000001</v>
      </c>
      <c r="L22" s="43"/>
      <c r="M22" s="66"/>
      <c r="N22" s="33">
        <f>'ТСЖ 1 кв.2022г.'!N22</f>
        <v>454457.47</v>
      </c>
      <c r="O22" s="105">
        <f t="shared" si="0"/>
        <v>525070.89000000013</v>
      </c>
      <c r="P22" s="74">
        <v>223464.31</v>
      </c>
      <c r="Q22" s="46">
        <f>K22/J22*100</f>
        <v>93.867074463135651</v>
      </c>
      <c r="S22" s="93">
        <f t="shared" si="1"/>
        <v>63998.739999999991</v>
      </c>
      <c r="T22" s="93">
        <f t="shared" si="2"/>
        <v>65251.950000000012</v>
      </c>
      <c r="V22" s="93">
        <f>N22</f>
        <v>454457.47</v>
      </c>
      <c r="Y22" s="92">
        <f>1250.94+33038.61</f>
        <v>34289.550000000003</v>
      </c>
      <c r="Z22" s="92">
        <f>1403.47-518.41</f>
        <v>885.06000000000006</v>
      </c>
    </row>
    <row r="23" spans="1:26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1 кв.2022г.'!H23-'ТСЖ 1 кв.2022г.'!I23+W23+Y23+Z23</f>
        <v>52911.609999999993</v>
      </c>
      <c r="I23" s="33">
        <f>36132.7+253.45</f>
        <v>36386.149999999994</v>
      </c>
      <c r="J23" s="33">
        <f>'ТСЖ 1 кв.2022г.'!J23+Y23+Z23+W23</f>
        <v>1045392.5799999998</v>
      </c>
      <c r="K23" s="33">
        <f>'ТСЖ 1 кв.2022г.'!K23+'ТСЖ 2 кв.2022г.'!I23</f>
        <v>1029422.38</v>
      </c>
      <c r="L23" s="43"/>
      <c r="M23" s="66"/>
      <c r="N23" s="33">
        <f>'ТСЖ 1 кв.2022г.'!N23</f>
        <v>435700.47000000003</v>
      </c>
      <c r="O23" s="105">
        <f>K23-V23</f>
        <v>593721.90999999992</v>
      </c>
      <c r="P23" s="78">
        <v>243907.98</v>
      </c>
      <c r="Q23" s="46">
        <f t="shared" si="3"/>
        <v>98.472325104890274</v>
      </c>
      <c r="S23" s="93">
        <f t="shared" si="1"/>
        <v>15970.199999999837</v>
      </c>
      <c r="T23" s="93">
        <f t="shared" si="2"/>
        <v>16525.46</v>
      </c>
      <c r="V23" s="93">
        <f t="shared" ref="V23:V29" si="4">N23</f>
        <v>435700.47000000003</v>
      </c>
      <c r="Y23" s="92">
        <f>1551.26+33175.35</f>
        <v>34726.61</v>
      </c>
      <c r="Z23" s="92">
        <f>152.13-67.25</f>
        <v>84.88</v>
      </c>
    </row>
    <row r="24" spans="1:26" s="92" customFormat="1" ht="45.75" thickBot="1">
      <c r="A24" s="32">
        <v>1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33">
        <f>'ТСЖ 1 кв.2022г.'!H24-'ТСЖ 1 кв.2022г.'!I24+W24+Y24+Z24</f>
        <v>230473.76</v>
      </c>
      <c r="I24" s="61">
        <f>53720+986.65+W24</f>
        <v>56076.86</v>
      </c>
      <c r="J24" s="33">
        <f>'ТСЖ 1 кв.2022г.'!J24+Y24+Z24+W24</f>
        <v>1423503.4100000001</v>
      </c>
      <c r="K24" s="33">
        <f>'ТСЖ 1 кв.2022г.'!K24+'ТСЖ 2 кв.2022г.'!I24</f>
        <v>1251529.8400000001</v>
      </c>
      <c r="L24" s="72"/>
      <c r="M24" s="61"/>
      <c r="N24" s="33">
        <f>'ТСЖ 1 кв.2022г.'!N24</f>
        <v>124391</v>
      </c>
      <c r="O24" s="121">
        <f t="shared" ref="O24:O27" si="5">K24-V24</f>
        <v>1127138.8400000001</v>
      </c>
      <c r="P24" s="44">
        <v>420551</v>
      </c>
      <c r="Q24" s="65">
        <f>K24/J24*100</f>
        <v>87.918991356683847</v>
      </c>
      <c r="S24" s="93">
        <f>J24-K24+3064.16</f>
        <v>175037.73000000007</v>
      </c>
      <c r="T24" s="93">
        <f t="shared" si="2"/>
        <v>174396.90000000002</v>
      </c>
      <c r="V24" s="93">
        <f t="shared" si="4"/>
        <v>124391</v>
      </c>
      <c r="W24" s="92">
        <v>1370.21</v>
      </c>
      <c r="Y24" s="92">
        <f>44908.02-651.19</f>
        <v>44256.829999999994</v>
      </c>
      <c r="Z24" s="92">
        <f>3338.19-1303.17</f>
        <v>2035.02</v>
      </c>
    </row>
    <row r="25" spans="1:26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1 кв.2022г.'!H25-'ТСЖ 1 кв.2022г.'!I25+W25+Y25+Z25</f>
        <v>59822.940000000017</v>
      </c>
      <c r="I25" s="33">
        <f>28389.1+29.4</f>
        <v>28418.5</v>
      </c>
      <c r="J25" s="33">
        <f>'ТСЖ 1 кв.2022г.'!J25+Y25+Z25+W25</f>
        <v>568730.93000000005</v>
      </c>
      <c r="K25" s="33">
        <f>'ТСЖ 1 кв.2022г.'!K25+'ТСЖ 2 кв.2022г.'!I25</f>
        <v>537720.47</v>
      </c>
      <c r="L25" s="43"/>
      <c r="M25" s="66"/>
      <c r="N25" s="33">
        <f>'ТСЖ 1 кв.2022г.'!N25</f>
        <v>248930</v>
      </c>
      <c r="O25" s="105">
        <f t="shared" si="5"/>
        <v>288790.46999999997</v>
      </c>
      <c r="P25" s="44">
        <v>146097.04999999999</v>
      </c>
      <c r="Q25" s="46">
        <f t="shared" si="3"/>
        <v>94.547428605650126</v>
      </c>
      <c r="S25" s="93">
        <f t="shared" si="1"/>
        <v>31010.460000000079</v>
      </c>
      <c r="T25" s="93">
        <f t="shared" si="2"/>
        <v>31404.440000000017</v>
      </c>
      <c r="U25" s="93"/>
      <c r="V25" s="93">
        <f t="shared" si="4"/>
        <v>248930</v>
      </c>
      <c r="Y25" s="92">
        <f>18046.5+393.98</f>
        <v>18440.48</v>
      </c>
      <c r="Z25" s="92">
        <f>607.97-191.69</f>
        <v>416.28000000000003</v>
      </c>
    </row>
    <row r="26" spans="1:26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1 кв.2022г.'!H26-'ТСЖ 1 кв.2022г.'!I26+W26+Y26+Z26</f>
        <v>180136.4</v>
      </c>
      <c r="I26" s="33">
        <f>23377.16+340.63</f>
        <v>23717.79</v>
      </c>
      <c r="J26" s="33">
        <f>'ТСЖ 1 кв.2022г.'!J26+Y26+Z26+W26</f>
        <v>1068354.5600000001</v>
      </c>
      <c r="K26" s="33">
        <f>'ТСЖ 1 кв.2022г.'!K26+'ТСЖ 2 кв.2022г.'!I26</f>
        <v>913505.40000000014</v>
      </c>
      <c r="L26" s="43"/>
      <c r="M26" s="33"/>
      <c r="N26" s="33">
        <f>'ТСЖ 1 кв.2022г.'!N26</f>
        <v>532320</v>
      </c>
      <c r="O26" s="105">
        <f t="shared" si="5"/>
        <v>381185.40000000014</v>
      </c>
      <c r="P26" s="44">
        <v>235115.53</v>
      </c>
      <c r="Q26" s="46">
        <f>K26/J26*100</f>
        <v>85.505826829624809</v>
      </c>
      <c r="S26" s="93">
        <f t="shared" si="1"/>
        <v>154849.15999999992</v>
      </c>
      <c r="T26" s="93">
        <f t="shared" si="2"/>
        <v>156418.60999999999</v>
      </c>
      <c r="V26" s="93">
        <f t="shared" si="4"/>
        <v>532320</v>
      </c>
      <c r="Y26" s="92">
        <f>1569.45+33696.87</f>
        <v>35266.32</v>
      </c>
      <c r="Z26" s="92">
        <f>2645.12-921.29</f>
        <v>1723.83</v>
      </c>
    </row>
    <row r="27" spans="1:26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'ТСЖ 1 кв.2022г.'!H27-'ТСЖ 1 кв.2022г.'!I27+W27+Y27+Z27</f>
        <v>163765.19999999995</v>
      </c>
      <c r="I27" s="33">
        <f>33570.44+251.61</f>
        <v>33822.050000000003</v>
      </c>
      <c r="J27" s="33">
        <f>'ТСЖ 1 кв.2022г.'!J27+Y27+Z27+W27</f>
        <v>1054801.7300000002</v>
      </c>
      <c r="K27" s="33">
        <f>'ТСЖ 1 кв.2022г.'!K27+'ТСЖ 2 кв.2022г.'!I27</f>
        <v>926289.46000000008</v>
      </c>
      <c r="L27" s="43"/>
      <c r="M27" s="66"/>
      <c r="N27" s="33">
        <f>'ТСЖ 1 кв.2022г.'!N27</f>
        <v>475020</v>
      </c>
      <c r="O27" s="121">
        <f t="shared" si="5"/>
        <v>451269.46000000008</v>
      </c>
      <c r="P27" s="44">
        <v>287247.24</v>
      </c>
      <c r="Q27" s="46">
        <f>K27/J27*100</f>
        <v>87.816452481548339</v>
      </c>
      <c r="S27" s="93">
        <f t="shared" si="1"/>
        <v>128512.27000000014</v>
      </c>
      <c r="T27" s="93">
        <f t="shared" si="2"/>
        <v>129943.14999999995</v>
      </c>
      <c r="V27" s="93">
        <f t="shared" si="4"/>
        <v>475020</v>
      </c>
      <c r="Y27" s="92">
        <f>1431.41+33302.55</f>
        <v>34733.960000000006</v>
      </c>
      <c r="Z27" s="92">
        <f>2012.46-734.52</f>
        <v>1277.94</v>
      </c>
    </row>
    <row r="28" spans="1:26" s="92" customFormat="1" ht="51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1 кв.2022г.'!H28-'ТСЖ 1 кв.2022г.'!I28+W28+Y28+Z28</f>
        <v>166801.86000000002</v>
      </c>
      <c r="I28" s="33">
        <f>37363.97+26.2</f>
        <v>37390.17</v>
      </c>
      <c r="J28" s="33">
        <f>'ТСЖ 1 кв.2022г.'!J28+Y28+Z28+W28</f>
        <v>1622479.5400000003</v>
      </c>
      <c r="K28" s="33">
        <f>'ТСЖ 1 кв.2022г.'!K28+'ТСЖ 2 кв.2022г.'!I28</f>
        <v>1495992.7299999997</v>
      </c>
      <c r="L28" s="43"/>
      <c r="M28" s="33"/>
      <c r="N28" s="33">
        <f>'ТСЖ 1 кв.2022г.'!N28</f>
        <v>774822</v>
      </c>
      <c r="O28" s="105">
        <f>K28-V28</f>
        <v>721170.72999999975</v>
      </c>
      <c r="P28" s="44">
        <v>354498.41</v>
      </c>
      <c r="Q28" s="46">
        <f t="shared" si="3"/>
        <v>92.204104465933639</v>
      </c>
      <c r="S28" s="93">
        <f t="shared" si="1"/>
        <v>126486.81000000052</v>
      </c>
      <c r="T28" s="93">
        <f t="shared" si="2"/>
        <v>129411.69000000002</v>
      </c>
      <c r="U28" s="93"/>
      <c r="V28" s="93">
        <f t="shared" si="4"/>
        <v>774822</v>
      </c>
      <c r="Y28" s="92">
        <f>2591.26+51287.04</f>
        <v>53878.3</v>
      </c>
      <c r="Z28" s="92">
        <f>2155.38-717.05</f>
        <v>1438.3300000000002</v>
      </c>
    </row>
    <row r="29" spans="1:26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1 кв.2022г.'!H29-'ТСЖ 1 кв.2022г.'!I29+W29+Y29+Z29</f>
        <v>152938.27999999988</v>
      </c>
      <c r="I29" s="33">
        <f>22177.63+39.36</f>
        <v>22216.99</v>
      </c>
      <c r="J29" s="33">
        <f>'ТСЖ 1 кв.2022г.'!J29+Y29+Z29+W29</f>
        <v>1075073.4399999997</v>
      </c>
      <c r="K29" s="33">
        <f>'ТСЖ 1 кв.2022г.'!K29+'ТСЖ 2 кв.2022г.'!I29</f>
        <v>945875.85000000009</v>
      </c>
      <c r="L29" s="43"/>
      <c r="M29" s="66"/>
      <c r="N29" s="33">
        <f>'ТСЖ 1 кв.2022г.'!N29</f>
        <v>721587</v>
      </c>
      <c r="O29" s="105">
        <f>K29-V29</f>
        <v>224288.85000000009</v>
      </c>
      <c r="P29" s="44">
        <v>309141.18</v>
      </c>
      <c r="Q29" s="46">
        <f>K29/J29*100</f>
        <v>87.982440529830257</v>
      </c>
      <c r="S29" s="48">
        <f t="shared" si="1"/>
        <v>129197.58999999962</v>
      </c>
      <c r="T29" s="48">
        <f t="shared" si="2"/>
        <v>130721.28999999988</v>
      </c>
      <c r="V29" s="93">
        <f t="shared" si="4"/>
        <v>721587</v>
      </c>
      <c r="Y29" s="49">
        <f>1523.34+33954.45</f>
        <v>35477.789999999994</v>
      </c>
      <c r="Z29" s="49">
        <f>2211.79-776.51</f>
        <v>1435.28</v>
      </c>
    </row>
    <row r="30" spans="1:26" ht="12.75" customHeight="1">
      <c r="A30" s="2"/>
      <c r="S30" s="3">
        <f>SUM(S15:S29)</f>
        <v>1822972.8399999996</v>
      </c>
      <c r="Y30" s="100">
        <f>SUM(Y15:Y29)</f>
        <v>564314.2300000001</v>
      </c>
      <c r="Z30" s="100">
        <f>SUM(Z15:Z29)</f>
        <v>19342.440000000002</v>
      </c>
    </row>
    <row r="31" spans="1:26" ht="15.75" hidden="1">
      <c r="A31" s="4" t="s">
        <v>76</v>
      </c>
      <c r="C31" s="17"/>
      <c r="D31" s="17"/>
      <c r="E31" s="17"/>
      <c r="F31" s="17"/>
      <c r="G31" s="17"/>
      <c r="H31" s="17"/>
      <c r="I31" s="26"/>
      <c r="Z31">
        <f>30920.5-11578.06</f>
        <v>19342.440000000002</v>
      </c>
    </row>
    <row r="32" spans="1:26" ht="18.75" hidden="1" customHeight="1">
      <c r="A32" s="2"/>
      <c r="B32" s="107" t="s">
        <v>164</v>
      </c>
      <c r="C32" s="202" t="s">
        <v>358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Y32" s="100"/>
    </row>
    <row r="33" spans="1:15" hidden="1">
      <c r="A33" s="2"/>
      <c r="B33" s="108" t="s">
        <v>165</v>
      </c>
      <c r="C33" s="202" t="s">
        <v>303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 hidden="1">
      <c r="A34" s="2"/>
      <c r="B34" s="108" t="s">
        <v>166</v>
      </c>
      <c r="C34" s="202" t="s">
        <v>336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15" ht="15.75" hidden="1" customHeight="1">
      <c r="A35" s="2"/>
      <c r="B35" s="108" t="s">
        <v>167</v>
      </c>
      <c r="C35" s="202" t="s">
        <v>337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15" ht="15.75" hidden="1" customHeight="1">
      <c r="A36" s="2"/>
      <c r="B36" s="108" t="s">
        <v>168</v>
      </c>
      <c r="C36" s="202" t="s">
        <v>338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15" hidden="1">
      <c r="A37" s="2"/>
      <c r="B37" s="108" t="s">
        <v>165</v>
      </c>
      <c r="C37" s="202" t="s">
        <v>339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15" hidden="1">
      <c r="A38" s="2"/>
      <c r="B38" s="108" t="s">
        <v>166</v>
      </c>
      <c r="C38" s="202" t="s">
        <v>340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15" ht="15.75" hidden="1" customHeight="1">
      <c r="A39" s="2"/>
      <c r="B39" s="108" t="s">
        <v>167</v>
      </c>
      <c r="C39" s="202" t="s">
        <v>341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15" ht="15.75" hidden="1" customHeight="1">
      <c r="A40" s="2"/>
      <c r="B40" s="108" t="s">
        <v>168</v>
      </c>
      <c r="C40" s="202" t="s">
        <v>342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5" ht="15" hidden="1" customHeight="1">
      <c r="A41" s="2"/>
      <c r="B41" s="108" t="s">
        <v>171</v>
      </c>
      <c r="C41" s="202" t="s">
        <v>343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15" ht="15.75" hidden="1" customHeight="1">
      <c r="A42" s="2"/>
      <c r="B42" s="108" t="s">
        <v>176</v>
      </c>
      <c r="C42" s="202" t="s">
        <v>344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15" ht="15.75" hidden="1" customHeight="1">
      <c r="A43" s="2"/>
      <c r="B43" s="108" t="s">
        <v>177</v>
      </c>
      <c r="C43" s="202" t="s">
        <v>345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15" ht="15.75">
      <c r="A44" s="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s="27" customFormat="1" ht="15.75">
      <c r="A45" s="4" t="str">
        <f>'УК 2кв. 2022г.'!A36</f>
        <v>06 июля 2022г.</v>
      </c>
      <c r="I45" s="28"/>
    </row>
    <row r="46" spans="1:15" s="27" customFormat="1" ht="15.75">
      <c r="A46" s="4"/>
      <c r="I46" s="28"/>
    </row>
    <row r="47" spans="1:15" s="27" customFormat="1" ht="15.75">
      <c r="A47" s="4"/>
      <c r="I47" s="28"/>
    </row>
    <row r="48" spans="1:15" s="27" customFormat="1" ht="15.75">
      <c r="A48" s="4" t="s">
        <v>47</v>
      </c>
      <c r="I48" s="28"/>
    </row>
    <row r="49" spans="1:11" s="27" customFormat="1" ht="15.75" hidden="1">
      <c r="A49" s="30" t="s">
        <v>48</v>
      </c>
      <c r="I49" s="28"/>
    </row>
    <row r="50" spans="1:11">
      <c r="A50" s="1"/>
    </row>
    <row r="51" spans="1:11">
      <c r="A51" s="1"/>
      <c r="K51" s="3"/>
    </row>
    <row r="52" spans="1:11">
      <c r="A52" s="1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</sheetData>
  <mergeCells count="36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F11:F13"/>
    <mergeCell ref="G11:G13"/>
    <mergeCell ref="H11:I11"/>
    <mergeCell ref="J11:K11"/>
    <mergeCell ref="L11:N1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43:O43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</mergeCells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D10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22" width="10.42578125" style="13" bestFit="1" customWidth="1"/>
    <col min="23" max="16384" width="9.140625" style="13"/>
  </cols>
  <sheetData>
    <row r="1" spans="1:24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4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4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4" ht="15.75">
      <c r="A4" s="158" t="s">
        <v>346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4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4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4" ht="15.75">
      <c r="A7" s="1" t="s">
        <v>7</v>
      </c>
      <c r="D7" s="18" t="s">
        <v>51</v>
      </c>
      <c r="E7" s="17"/>
      <c r="F7" s="17"/>
      <c r="G7" s="17"/>
      <c r="H7" s="17"/>
    </row>
    <row r="8" spans="1:24">
      <c r="A8" s="1" t="s">
        <v>8</v>
      </c>
    </row>
    <row r="9" spans="1:24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4" ht="15.75">
      <c r="A10" s="18" t="s">
        <v>61</v>
      </c>
    </row>
    <row r="11" spans="1:24" ht="15.75">
      <c r="A11" s="18" t="s">
        <v>62</v>
      </c>
    </row>
    <row r="12" spans="1:24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4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4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</row>
    <row r="15" spans="1:24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4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4кв. 2021г.'!H16-'УК 4кв. 2021г.'!I16+V16+W16+X16</f>
        <v>367853.52999999991</v>
      </c>
      <c r="I16" s="33">
        <v>165074.87</v>
      </c>
      <c r="J16" s="33">
        <f>'УК 4кв. 2021г.'!J16+V16+W16+X16</f>
        <v>4534694.629999999</v>
      </c>
      <c r="K16" s="33">
        <f>'УК 4кв. 2021г.'!K16+'УК 1кв. 2022г.'!I16</f>
        <v>4412692.66</v>
      </c>
      <c r="L16" s="64"/>
      <c r="M16" s="47"/>
      <c r="N16" s="33">
        <f>'УК 4кв. 2021г.'!N16</f>
        <v>894970.86</v>
      </c>
      <c r="O16" s="33">
        <f>K16-N16</f>
        <v>3517721.8000000003</v>
      </c>
      <c r="P16" s="110">
        <f t="shared" ref="P16:P21" si="0">K16/J16*100</f>
        <v>97.309587966676403</v>
      </c>
      <c r="R16" s="19">
        <f>J16-K16</f>
        <v>122001.96999999881</v>
      </c>
      <c r="S16" s="19">
        <f>H16-I16</f>
        <v>202778.65999999992</v>
      </c>
      <c r="V16" s="15">
        <v>148148.28</v>
      </c>
      <c r="W16" s="15">
        <f>3953.26-3.1</f>
        <v>3950.1600000000003</v>
      </c>
      <c r="X16" s="15">
        <v>82621.100000000006</v>
      </c>
    </row>
    <row r="17" spans="1:24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4кв. 2021г.'!H17-'УК 4кв. 2021г.'!I17+V17+W17+X17</f>
        <v>136635.72000000003</v>
      </c>
      <c r="I17" s="33">
        <v>79457.100000000006</v>
      </c>
      <c r="J17" s="33">
        <f>'УК 4кв. 2021г.'!J17+V17+W17+X17</f>
        <v>1293840.8700000003</v>
      </c>
      <c r="K17" s="33">
        <f>'УК 4кв. 2021г.'!K17+'УК 1кв. 2022г.'!I17</f>
        <v>1236662.2500000002</v>
      </c>
      <c r="L17" s="32"/>
      <c r="M17" s="32"/>
      <c r="N17" s="33">
        <f>'УК 4кв. 2021г.'!N17</f>
        <v>0</v>
      </c>
      <c r="O17" s="33">
        <f>K17-N17</f>
        <v>1236662.2500000002</v>
      </c>
      <c r="P17" s="110">
        <f t="shared" si="0"/>
        <v>95.580706922637233</v>
      </c>
      <c r="R17" s="19">
        <f>J17-K17</f>
        <v>57178.620000000112</v>
      </c>
      <c r="S17" s="19">
        <f>H17-I17</f>
        <v>57178.620000000024</v>
      </c>
      <c r="V17" s="114">
        <v>67720.320000000007</v>
      </c>
      <c r="W17" s="15">
        <v>2439.71</v>
      </c>
      <c r="X17" s="15">
        <v>-988.9</v>
      </c>
    </row>
    <row r="18" spans="1:24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4кв. 2021г.'!H18-'УК 4кв. 2021г.'!I18+V18+W18</f>
        <v>476179.81</v>
      </c>
      <c r="I18" s="33">
        <f>75034.78-3850.68</f>
        <v>71184.100000000006</v>
      </c>
      <c r="J18" s="33">
        <f>'УК 4кв. 2021г.'!J18+V18+W18+X18</f>
        <v>1673001.8500000003</v>
      </c>
      <c r="K18" s="33">
        <f>'УК 4кв. 2021г.'!K18+'УК 1кв. 2022г.'!I18</f>
        <v>1268006.1399999999</v>
      </c>
      <c r="L18" s="34"/>
      <c r="M18" s="89"/>
      <c r="N18" s="33">
        <f>'УК 4кв. 2021г.'!N18</f>
        <v>150967</v>
      </c>
      <c r="O18" s="33">
        <f>K18-N18</f>
        <v>1117039.1399999999</v>
      </c>
      <c r="P18" s="110">
        <f t="shared" si="0"/>
        <v>75.792273630779277</v>
      </c>
      <c r="R18" s="19">
        <f>J18-K18</f>
        <v>404995.71000000043</v>
      </c>
      <c r="S18" s="19">
        <f>H18-I18</f>
        <v>404995.70999999996</v>
      </c>
      <c r="V18" s="114">
        <v>55186.83</v>
      </c>
      <c r="W18" s="15">
        <v>12163.32</v>
      </c>
    </row>
    <row r="19" spans="1:24" s="15" customFormat="1" ht="48.75" customHeight="1">
      <c r="A19" s="32">
        <v>1</v>
      </c>
      <c r="B19" s="32" t="s">
        <v>28</v>
      </c>
      <c r="C19" s="103" t="s">
        <v>92</v>
      </c>
      <c r="D19" s="32">
        <v>2012</v>
      </c>
      <c r="E19" s="32"/>
      <c r="F19" s="33">
        <v>2729.9</v>
      </c>
      <c r="G19" s="32">
        <v>7.32</v>
      </c>
      <c r="H19" s="33">
        <f>'УК 4кв. 2021г.'!H19-'УК 4кв. 2021г.'!I19+V19+W19+X19</f>
        <v>328482.47999999992</v>
      </c>
      <c r="I19" s="33">
        <v>80297.149999999994</v>
      </c>
      <c r="J19" s="33">
        <f>'УК 4кв. 2021г.'!J19+V19+W19+X19</f>
        <v>1872662.53</v>
      </c>
      <c r="K19" s="33">
        <f>'УК 4кв. 2021г.'!K19+'УК 1кв. 2022г.'!I19</f>
        <v>1624477.2</v>
      </c>
      <c r="L19" s="43"/>
      <c r="M19" s="91"/>
      <c r="N19" s="33">
        <f>'УК 4кв. 2021г.'!N19</f>
        <v>104440.4</v>
      </c>
      <c r="O19" s="33">
        <f t="shared" ref="O19:O23" si="1">K19-N19</f>
        <v>1520036.8</v>
      </c>
      <c r="P19" s="110">
        <f t="shared" si="0"/>
        <v>86.746927114518584</v>
      </c>
      <c r="R19" s="19">
        <f>J19-K19</f>
        <v>248185.33000000007</v>
      </c>
      <c r="S19" s="19">
        <f t="shared" ref="S19:S21" si="2">H19-I19</f>
        <v>248185.32999999993</v>
      </c>
      <c r="U19" s="19"/>
      <c r="V19" s="114">
        <v>59948.61</v>
      </c>
      <c r="W19" s="15">
        <v>7784.68</v>
      </c>
      <c r="X19" s="15">
        <v>-0.3</v>
      </c>
    </row>
    <row r="20" spans="1:24" ht="30" customHeight="1">
      <c r="A20" s="32">
        <v>1</v>
      </c>
      <c r="B20" s="32" t="s">
        <v>28</v>
      </c>
      <c r="C20" s="103" t="s">
        <v>152</v>
      </c>
      <c r="D20" s="32">
        <v>2007</v>
      </c>
      <c r="E20" s="32"/>
      <c r="F20" s="33">
        <v>2918.7</v>
      </c>
      <c r="G20" s="32">
        <v>7.32</v>
      </c>
      <c r="H20" s="33">
        <f>'УК 4кв. 2021г.'!H20-'УК 4кв. 2021г.'!I20+V20+W20+X20</f>
        <v>-20610.400000000023</v>
      </c>
      <c r="I20" s="33">
        <v>120019.79</v>
      </c>
      <c r="J20" s="33">
        <f>'УК 4кв. 2021г.'!J20+V20+W20+X20</f>
        <v>1990607.55</v>
      </c>
      <c r="K20" s="33">
        <f>'УК 4кв. 2021г.'!K20+'УК 1кв. 2022г.'!I20</f>
        <v>1751979.5800000003</v>
      </c>
      <c r="L20" s="32"/>
      <c r="M20" s="32"/>
      <c r="N20" s="33">
        <f>'УК 4кв. 2021г.'!N20</f>
        <v>650595</v>
      </c>
      <c r="O20" s="33">
        <f t="shared" si="1"/>
        <v>1101384.5800000003</v>
      </c>
      <c r="P20" s="110">
        <f t="shared" si="0"/>
        <v>88.012304585100182</v>
      </c>
      <c r="R20" s="19">
        <f>J20-K20</f>
        <v>238627.96999999974</v>
      </c>
      <c r="S20" s="19">
        <f t="shared" si="2"/>
        <v>-140630.19</v>
      </c>
      <c r="V20" s="115">
        <v>64094.67</v>
      </c>
      <c r="W20" s="13">
        <v>8197.07</v>
      </c>
      <c r="X20" s="13">
        <v>-379258.16</v>
      </c>
    </row>
    <row r="21" spans="1:24" ht="35.25" customHeight="1">
      <c r="A21" s="32">
        <v>1</v>
      </c>
      <c r="B21" s="32" t="s">
        <v>28</v>
      </c>
      <c r="C21" s="103" t="s">
        <v>274</v>
      </c>
      <c r="D21" s="32">
        <v>2018</v>
      </c>
      <c r="E21" s="32"/>
      <c r="F21" s="33">
        <v>4764.6000000000004</v>
      </c>
      <c r="G21" s="32">
        <v>7.32</v>
      </c>
      <c r="H21" s="33">
        <f>'УК 4кв. 2021г.'!H21-'УК 4кв. 2021г.'!I21+V21+W21</f>
        <v>239959.50000000003</v>
      </c>
      <c r="I21" s="33">
        <v>102230.9</v>
      </c>
      <c r="J21" s="33">
        <f>'УК 4кв. 2021г.'!J21+V21+W21+X21</f>
        <v>635264.13000000012</v>
      </c>
      <c r="K21" s="33">
        <f>'УК 4кв. 2021г.'!K21+'УК 1кв. 2022г.'!I21</f>
        <v>497535.68000000005</v>
      </c>
      <c r="L21" s="32"/>
      <c r="M21" s="32"/>
      <c r="N21" s="33">
        <f>'УК 4кв. 2021г.'!N21</f>
        <v>0</v>
      </c>
      <c r="O21" s="33">
        <f t="shared" si="1"/>
        <v>497535.68000000005</v>
      </c>
      <c r="P21" s="110">
        <f t="shared" si="0"/>
        <v>78.319498379359146</v>
      </c>
      <c r="R21" s="19">
        <f t="shared" ref="R21:R23" si="3">J21-K21</f>
        <v>137728.45000000007</v>
      </c>
      <c r="S21" s="19">
        <f t="shared" si="2"/>
        <v>137728.60000000003</v>
      </c>
      <c r="V21" s="115">
        <v>104630.49</v>
      </c>
      <c r="W21" s="13">
        <v>3373.66</v>
      </c>
      <c r="X21" s="13">
        <f>-0.15</f>
        <v>-0.15</v>
      </c>
    </row>
    <row r="22" spans="1:24" ht="30.75" customHeight="1">
      <c r="A22" s="32">
        <v>1</v>
      </c>
      <c r="B22" s="32" t="s">
        <v>28</v>
      </c>
      <c r="C22" s="103" t="s">
        <v>347</v>
      </c>
      <c r="D22" s="32">
        <v>2007</v>
      </c>
      <c r="E22" s="32"/>
      <c r="F22" s="33">
        <v>1202.9000000000001</v>
      </c>
      <c r="G22" s="32">
        <v>5.3</v>
      </c>
      <c r="H22" s="33">
        <f>V22+W22</f>
        <v>556225.17000000004</v>
      </c>
      <c r="I22" s="33">
        <v>369252.89</v>
      </c>
      <c r="J22" s="33">
        <f>W22+X22+V22</f>
        <v>556225.17000000004</v>
      </c>
      <c r="K22" s="33">
        <f>I22</f>
        <v>369252.89</v>
      </c>
      <c r="L22" s="32"/>
      <c r="M22" s="32"/>
      <c r="N22" s="33">
        <v>0</v>
      </c>
      <c r="O22" s="33">
        <f>K22-N22</f>
        <v>369252.89</v>
      </c>
      <c r="P22" s="110">
        <f>K22/J22*100</f>
        <v>66.385505352086099</v>
      </c>
      <c r="R22" s="19">
        <f t="shared" si="3"/>
        <v>186972.28000000003</v>
      </c>
      <c r="S22" s="19"/>
      <c r="V22" s="115">
        <v>488304.37</v>
      </c>
      <c r="W22" s="13">
        <f>67921.11-0.31</f>
        <v>67920.800000000003</v>
      </c>
    </row>
    <row r="23" spans="1:24" ht="30.75" customHeight="1">
      <c r="A23" s="32">
        <v>1</v>
      </c>
      <c r="B23" s="32" t="s">
        <v>28</v>
      </c>
      <c r="C23" s="103" t="s">
        <v>327</v>
      </c>
      <c r="D23" s="32">
        <v>2006</v>
      </c>
      <c r="E23" s="32"/>
      <c r="F23" s="33">
        <v>1201.8</v>
      </c>
      <c r="G23" s="32">
        <v>5.3</v>
      </c>
      <c r="H23" s="33">
        <f>'УК 4кв. 2021г.'!H22-'УК 4кв. 2021г.'!I22+V23+W23</f>
        <v>202350.07999999999</v>
      </c>
      <c r="I23" s="33">
        <v>49234.11</v>
      </c>
      <c r="J23" s="33">
        <f>'УК 4кв. 2021г.'!J22+'УК 1кв. 2022г.'!V23+'УК 1кв. 2022г.'!W23</f>
        <v>488925.7</v>
      </c>
      <c r="K23" s="33">
        <f>'УК 4кв. 2021г.'!K22+'УК 1кв. 2022г.'!I23</f>
        <v>335809.73</v>
      </c>
      <c r="L23" s="32"/>
      <c r="M23" s="32"/>
      <c r="N23" s="33">
        <f>'УК 4кв. 2021г.'!N22</f>
        <v>0</v>
      </c>
      <c r="O23" s="33">
        <f t="shared" si="1"/>
        <v>335809.73</v>
      </c>
      <c r="P23" s="110">
        <f>K23/J23*100</f>
        <v>68.683182332203032</v>
      </c>
      <c r="R23" s="19">
        <f t="shared" si="3"/>
        <v>153115.97000000003</v>
      </c>
      <c r="S23" s="19"/>
      <c r="V23" s="115">
        <v>19108.650000000001</v>
      </c>
      <c r="W23" s="13">
        <v>4315.95</v>
      </c>
    </row>
    <row r="24" spans="1:24">
      <c r="A24" s="67"/>
      <c r="B24" s="67"/>
      <c r="C24" s="67"/>
      <c r="D24" s="67"/>
      <c r="E24" s="67"/>
      <c r="F24" s="68"/>
      <c r="G24" s="67"/>
      <c r="H24" s="68"/>
      <c r="I24" s="68"/>
      <c r="J24" s="68"/>
      <c r="K24" s="68"/>
      <c r="L24" s="67"/>
      <c r="M24" s="67"/>
      <c r="N24" s="67"/>
      <c r="O24" s="68"/>
      <c r="P24" s="63"/>
      <c r="V24" s="13">
        <f>SUM(V16:V23)</f>
        <v>1007142.22</v>
      </c>
      <c r="W24" s="13">
        <f>SUM(W16:W23)</f>
        <v>110145.35</v>
      </c>
    </row>
    <row r="25" spans="1:24" s="17" customFormat="1" ht="15.75">
      <c r="A25" s="4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4" s="17" customFormat="1" ht="15.75" hidden="1">
      <c r="A26" s="4"/>
      <c r="C26" s="90" t="s">
        <v>328</v>
      </c>
      <c r="D26" s="90"/>
      <c r="E26" s="90"/>
      <c r="F26" s="90"/>
      <c r="G26" s="90"/>
      <c r="H26" s="90"/>
      <c r="I26" s="90"/>
      <c r="J26" s="90"/>
      <c r="K26" s="90"/>
      <c r="L26" s="4"/>
      <c r="P26" s="62"/>
    </row>
    <row r="27" spans="1:24" s="62" customFormat="1" ht="21.75" hidden="1" customHeight="1">
      <c r="A27" s="111"/>
      <c r="C27" s="15" t="s">
        <v>350</v>
      </c>
      <c r="D27" s="15"/>
      <c r="E27" s="15"/>
      <c r="F27" s="15"/>
      <c r="G27" s="15"/>
      <c r="H27" s="15"/>
      <c r="I27" s="15"/>
      <c r="J27" s="15"/>
      <c r="K27" s="15"/>
    </row>
    <row r="28" spans="1:24" s="17" customFormat="1" ht="15.75" hidden="1">
      <c r="A28" s="4"/>
      <c r="C28" s="13" t="s">
        <v>288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4" s="17" customFormat="1" ht="15.75" hidden="1">
      <c r="A29" s="4"/>
      <c r="C29" s="13" t="s">
        <v>289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4" s="17" customFormat="1" ht="15.75" hidden="1">
      <c r="A30" s="4"/>
      <c r="C30" s="13" t="s">
        <v>290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4" s="17" customFormat="1" ht="15.75" hidden="1">
      <c r="A31" s="4"/>
      <c r="C31" s="13" t="s">
        <v>291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4" s="17" customFormat="1" ht="15.75" hidden="1">
      <c r="A32" s="4"/>
      <c r="C32" s="13" t="s">
        <v>292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25" customFormat="1" ht="18.75" hidden="1" customHeight="1">
      <c r="A33" s="2"/>
      <c r="B33" s="107" t="s">
        <v>164</v>
      </c>
      <c r="C33" s="182" t="s">
        <v>353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Y33" s="100"/>
    </row>
    <row r="34" spans="1:25" s="17" customFormat="1" ht="15.75">
      <c r="A34" s="4"/>
      <c r="C34" s="13"/>
      <c r="D34" s="13"/>
      <c r="E34" s="13"/>
      <c r="F34" s="13"/>
      <c r="G34" s="13"/>
      <c r="H34" s="13"/>
      <c r="I34" s="13"/>
      <c r="J34" s="13"/>
      <c r="K34" s="13"/>
      <c r="P34" s="62"/>
    </row>
    <row r="35" spans="1:25" s="17" customFormat="1" ht="15.75">
      <c r="A35" s="4"/>
      <c r="C35" s="13"/>
      <c r="D35" s="13"/>
      <c r="E35" s="13"/>
      <c r="F35" s="13"/>
      <c r="G35" s="13"/>
      <c r="H35" s="13"/>
      <c r="I35" s="13"/>
      <c r="J35" s="13"/>
      <c r="K35" s="13"/>
      <c r="P35" s="62"/>
    </row>
    <row r="36" spans="1:25" s="17" customFormat="1" ht="15.75">
      <c r="A36" s="4" t="s">
        <v>351</v>
      </c>
      <c r="P36" s="62"/>
    </row>
    <row r="37" spans="1:25" s="17" customFormat="1" ht="15.75">
      <c r="A37" s="4" t="s">
        <v>59</v>
      </c>
      <c r="P37" s="62"/>
    </row>
    <row r="38" spans="1:25" s="17" customFormat="1" ht="15.75">
      <c r="A38" s="4"/>
      <c r="P38" s="62"/>
    </row>
    <row r="39" spans="1:25">
      <c r="A39" s="2" t="s">
        <v>48</v>
      </c>
    </row>
  </sheetData>
  <mergeCells count="26">
    <mergeCell ref="I13:I14"/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C33:O33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4"/>
  <sheetViews>
    <sheetView topLeftCell="A4" workbookViewId="0">
      <selection activeCell="H23" sqref="H23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1кв. 2022г.'!A4:O4</f>
        <v xml:space="preserve">по состоянию за 1 квартал 2022 года на 01 апреля 2022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6.75" customHeight="1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4 кв.2021г.'!H15-'ТСЖ 4 кв.2021г.'!I15+W15+Y15+Z15</f>
        <v>342978.67000000004</v>
      </c>
      <c r="I15" s="33">
        <f>71563.21-10000+W15</f>
        <v>63479.390000000007</v>
      </c>
      <c r="J15" s="33">
        <f>'ТСЖ 4 кв.2021г.'!J15+Y15+Z15+W15</f>
        <v>2316648.7200000007</v>
      </c>
      <c r="K15" s="33">
        <f>'ТСЖ 4 кв.2021г.'!K15+'ТСЖ 1 кв.2022г.'!I15</f>
        <v>2050398.3699999999</v>
      </c>
      <c r="L15" s="43"/>
      <c r="M15" s="66"/>
      <c r="N15" s="33">
        <f>'ТСЖ 4 кв.2021г.'!N15</f>
        <v>426357.21</v>
      </c>
      <c r="O15" s="105">
        <f>K15-V15</f>
        <v>1624041.16</v>
      </c>
      <c r="P15" s="74">
        <v>520817.08</v>
      </c>
      <c r="Q15" s="46">
        <f>K15/J15*100</f>
        <v>88.507090103846181</v>
      </c>
      <c r="S15" s="48">
        <f>J15-K15+W15</f>
        <v>268166.53000000078</v>
      </c>
      <c r="T15" s="48">
        <f>H15-I15</f>
        <v>279499.28000000003</v>
      </c>
      <c r="V15" s="48">
        <v>426357.21</v>
      </c>
      <c r="W15" s="49">
        <v>1916.18</v>
      </c>
      <c r="Y15" s="49">
        <v>75529.77</v>
      </c>
      <c r="Z15" s="49">
        <v>5946.85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4 кв.2021г.'!H16-'ТСЖ 4 кв.2021г.'!I16+W16+Y16+Z16</f>
        <v>93576.06</v>
      </c>
      <c r="I16" s="33">
        <v>32308.05</v>
      </c>
      <c r="J16" s="33">
        <f>'ТСЖ 4 кв.2021г.'!J16+Y16+Z16+W16</f>
        <v>925688.10000000033</v>
      </c>
      <c r="K16" s="33">
        <f>'ТСЖ 4 кв.2021г.'!K16+'ТСЖ 1 кв.2022г.'!I16</f>
        <v>865382.04000000015</v>
      </c>
      <c r="L16" s="43"/>
      <c r="M16" s="66"/>
      <c r="N16" s="33">
        <f>'ТСЖ 4 кв.2021г.'!N16</f>
        <v>221688.82</v>
      </c>
      <c r="O16" s="105">
        <f t="shared" ref="O16:O22" si="0">K16-V16</f>
        <v>643693.2200000002</v>
      </c>
      <c r="P16" s="78">
        <v>264064.82</v>
      </c>
      <c r="Q16" s="46">
        <f>K16/J16*100</f>
        <v>93.485272199134869</v>
      </c>
      <c r="S16" s="48">
        <f t="shared" ref="S16:S29" si="1">J16-K16+W16</f>
        <v>60306.060000000172</v>
      </c>
      <c r="T16" s="48">
        <f t="shared" ref="T16:T29" si="2">H16-I16</f>
        <v>61268.009999999995</v>
      </c>
      <c r="V16" s="48">
        <v>221688.82</v>
      </c>
      <c r="Y16" s="49">
        <v>30349.919999999998</v>
      </c>
      <c r="Z16" s="49">
        <v>1549.34</v>
      </c>
    </row>
    <row r="17" spans="1:26" s="49" customFormat="1" ht="39.75" customHeight="1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4 кв.2021г.'!H17-'ТСЖ 4 кв.2021г.'!I17+W17+Y17+Z17</f>
        <v>188373.72000000003</v>
      </c>
      <c r="I17" s="61">
        <v>46058.68</v>
      </c>
      <c r="J17" s="33">
        <f>'ТСЖ 4 кв.2021г.'!J17+Y17+Z17+W17</f>
        <v>950917.74999999942</v>
      </c>
      <c r="K17" s="33">
        <f>'ТСЖ 4 кв.2021г.'!K17+'ТСЖ 1 кв.2022г.'!I17</f>
        <v>810339.75</v>
      </c>
      <c r="L17" s="72"/>
      <c r="M17" s="73"/>
      <c r="N17" s="33">
        <f>'ТСЖ 4 кв.2021г.'!N17</f>
        <v>476040</v>
      </c>
      <c r="O17" s="106">
        <f t="shared" si="0"/>
        <v>334299.75</v>
      </c>
      <c r="P17" s="74">
        <v>253163.82</v>
      </c>
      <c r="Q17" s="65">
        <f>K17/J17*100</f>
        <v>85.216597334522419</v>
      </c>
      <c r="S17" s="48">
        <f t="shared" si="1"/>
        <v>140577.99999999942</v>
      </c>
      <c r="T17" s="48">
        <f t="shared" si="2"/>
        <v>142315.04000000004</v>
      </c>
      <c r="V17" s="48">
        <v>476040</v>
      </c>
      <c r="Y17" s="49">
        <v>30962.07</v>
      </c>
      <c r="Z17" s="49">
        <v>3522.74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4 кв.2021г.'!H18-'ТСЖ 4 кв.2021г.'!I18+W18+Y18+Z18</f>
        <v>305947.36000000004</v>
      </c>
      <c r="I18" s="61">
        <f>65848.45+350+531.35</f>
        <v>66729.8</v>
      </c>
      <c r="J18" s="33">
        <f>'ТСЖ 4 кв.2021г.'!J18+Y18+Z18+W18</f>
        <v>1454817.1399999994</v>
      </c>
      <c r="K18" s="33">
        <f>'ТСЖ 4 кв.2021г.'!K18+'ТСЖ 1 кв.2022г.'!I18</f>
        <v>1218219.29</v>
      </c>
      <c r="L18" s="72"/>
      <c r="M18" s="73"/>
      <c r="N18" s="33">
        <f>'ТСЖ 4 кв.2021г.'!N18</f>
        <v>731630</v>
      </c>
      <c r="O18" s="105">
        <f t="shared" si="0"/>
        <v>486589.29000000004</v>
      </c>
      <c r="P18" s="44">
        <v>378042.71</v>
      </c>
      <c r="Q18" s="65">
        <f t="shared" ref="Q18:Q28" si="3">K18/J18*100</f>
        <v>83.736935488675954</v>
      </c>
      <c r="S18" s="48">
        <f t="shared" si="1"/>
        <v>236597.84999999939</v>
      </c>
      <c r="T18" s="48">
        <f t="shared" si="2"/>
        <v>239217.56000000006</v>
      </c>
      <c r="V18" s="48">
        <v>731630</v>
      </c>
      <c r="Y18" s="49">
        <v>47437.65</v>
      </c>
      <c r="Z18" s="49">
        <v>5216.76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4 кв.2021г.'!H19-'ТСЖ 4 кв.2021г.'!I19+W19+Y19+Z19</f>
        <v>142903.60000000003</v>
      </c>
      <c r="I19" s="33">
        <v>21626.47</v>
      </c>
      <c r="J19" s="33">
        <f>'ТСЖ 4 кв.2021г.'!J19+Y19+Z19+W19</f>
        <v>828101.58999999973</v>
      </c>
      <c r="K19" s="33">
        <f>'ТСЖ 4 кв.2021г.'!K19+'ТСЖ 1 кв.2022г.'!I19</f>
        <v>708150.51</v>
      </c>
      <c r="L19" s="43"/>
      <c r="M19" s="66"/>
      <c r="N19" s="33">
        <f>'ТСЖ 4 кв.2021г.'!N19</f>
        <v>230810</v>
      </c>
      <c r="O19" s="105">
        <f t="shared" si="0"/>
        <v>477340.51</v>
      </c>
      <c r="P19" s="44">
        <v>252978.03</v>
      </c>
      <c r="Q19" s="46">
        <f>K19/J19*100</f>
        <v>85.514931809272369</v>
      </c>
      <c r="S19" s="93">
        <f t="shared" si="1"/>
        <v>119951.07999999973</v>
      </c>
      <c r="T19" s="93">
        <f t="shared" si="2"/>
        <v>121277.13000000003</v>
      </c>
      <c r="V19" s="93">
        <v>230810</v>
      </c>
      <c r="Y19" s="92">
        <f>27014.63-5.3</f>
        <v>27009.33</v>
      </c>
      <c r="Z19" s="92">
        <v>2641.51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4 кв.2021г.'!H20-'ТСЖ 4 кв.2021г.'!I20+W20+Y20+Z20</f>
        <v>65979.429999999978</v>
      </c>
      <c r="I20" s="33">
        <v>17341.900000000001</v>
      </c>
      <c r="J20" s="33">
        <f>'ТСЖ 4 кв.2021г.'!J20+Y20+Z20+W20</f>
        <v>577071.71999999986</v>
      </c>
      <c r="K20" s="33">
        <f>'ТСЖ 4 кв.2021г.'!K20+'ТСЖ 1 кв.2022г.'!I20</f>
        <v>529177.01</v>
      </c>
      <c r="L20" s="43"/>
      <c r="M20" s="66"/>
      <c r="N20" s="33">
        <f>'ТСЖ 4 кв.2021г.'!N20</f>
        <v>208003.99</v>
      </c>
      <c r="O20" s="121">
        <f t="shared" si="0"/>
        <v>321173.02</v>
      </c>
      <c r="P20" s="74">
        <v>124839.69</v>
      </c>
      <c r="Q20" s="46">
        <f t="shared" si="3"/>
        <v>91.700388644933099</v>
      </c>
      <c r="S20" s="93">
        <f t="shared" si="1"/>
        <v>47894.709999999846</v>
      </c>
      <c r="T20" s="93">
        <f t="shared" si="2"/>
        <v>48637.529999999977</v>
      </c>
      <c r="V20" s="93">
        <v>208003.99</v>
      </c>
      <c r="Y20" s="92">
        <v>18905.099999999999</v>
      </c>
      <c r="Z20" s="92">
        <v>684.5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4 кв.2021г.'!H21-'ТСЖ 4 кв.2021г.'!I21+W21+Y21+Z21</f>
        <v>164891.31000000003</v>
      </c>
      <c r="I21" s="61">
        <v>30692.05</v>
      </c>
      <c r="J21" s="33">
        <f>'ТСЖ 4 кв.2021г.'!J21+Y21+Z21+W21</f>
        <v>1172701.83</v>
      </c>
      <c r="K21" s="33">
        <f>'ТСЖ 4 кв.2021г.'!K21+'ТСЖ 1 кв.2022г.'!I21</f>
        <v>1039717.1299999999</v>
      </c>
      <c r="L21" s="72"/>
      <c r="M21" s="61"/>
      <c r="N21" s="33">
        <f>'ТСЖ 4 кв.2021г.'!N21</f>
        <v>0</v>
      </c>
      <c r="O21" s="106">
        <f t="shared" si="0"/>
        <v>1039717.1299999999</v>
      </c>
      <c r="P21" s="44">
        <v>388089.32</v>
      </c>
      <c r="Q21" s="65">
        <f t="shared" si="3"/>
        <v>88.659973354011029</v>
      </c>
      <c r="S21" s="93">
        <f t="shared" si="1"/>
        <v>132984.70000000019</v>
      </c>
      <c r="T21" s="93">
        <f t="shared" si="2"/>
        <v>134199.26000000004</v>
      </c>
      <c r="Y21" s="92">
        <v>38605.53</v>
      </c>
      <c r="Z21" s="92">
        <v>2292.92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4 кв.2021г.'!H22-'ТСЖ 4 кв.2021г.'!I22+W22+Y22+Z22</f>
        <v>90189.140000000014</v>
      </c>
      <c r="I22" s="33">
        <v>26601.41</v>
      </c>
      <c r="J22" s="33">
        <f>'ТСЖ 4 кв.2021г.'!J22+Y22+Z22+W22</f>
        <v>1008352.49</v>
      </c>
      <c r="K22" s="33">
        <f>'ТСЖ 4 кв.2021г.'!K22+'ТСЖ 1 кв.2022г.'!I22</f>
        <v>946017.97000000009</v>
      </c>
      <c r="L22" s="43"/>
      <c r="M22" s="66"/>
      <c r="N22" s="33">
        <f>'ТСЖ 4 кв.2021г.'!N22</f>
        <v>454457.47</v>
      </c>
      <c r="O22" s="105">
        <f t="shared" si="0"/>
        <v>491560.50000000012</v>
      </c>
      <c r="P22" s="74">
        <v>223464.31</v>
      </c>
      <c r="Q22" s="46">
        <f>K22/J22*100</f>
        <v>93.818181576563575</v>
      </c>
      <c r="S22" s="93">
        <f t="shared" si="1"/>
        <v>62334.519999999902</v>
      </c>
      <c r="T22" s="93">
        <f t="shared" si="2"/>
        <v>63587.73000000001</v>
      </c>
      <c r="V22" s="93">
        <f>N22</f>
        <v>454457.47</v>
      </c>
      <c r="Y22" s="92">
        <v>33038.61</v>
      </c>
      <c r="Z22" s="92">
        <v>1729.04</v>
      </c>
    </row>
    <row r="23" spans="1:26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4 кв.2021г.'!H23-'ТСЖ 4 кв.2021г.'!I23+W23+Y23+Z23</f>
        <v>48055.86</v>
      </c>
      <c r="I23" s="33">
        <v>29955.74</v>
      </c>
      <c r="J23" s="33">
        <f>'ТСЖ 4 кв.2021г.'!J23+Y23+Z23+W23</f>
        <v>1010581.0899999999</v>
      </c>
      <c r="K23" s="33">
        <f>'ТСЖ 4 кв.2021г.'!K23+'ТСЖ 1 кв.2022г.'!I23</f>
        <v>993036.23</v>
      </c>
      <c r="L23" s="43"/>
      <c r="M23" s="66"/>
      <c r="N23" s="33">
        <f>'ТСЖ 4 кв.2021г.'!N23</f>
        <v>435700.47000000003</v>
      </c>
      <c r="O23" s="121">
        <f>K23-V23</f>
        <v>557335.76</v>
      </c>
      <c r="P23" s="78">
        <v>243907.98</v>
      </c>
      <c r="Q23" s="46">
        <f t="shared" si="3"/>
        <v>98.263883999650162</v>
      </c>
      <c r="S23" s="93">
        <f t="shared" si="1"/>
        <v>17544.85999999987</v>
      </c>
      <c r="T23" s="93">
        <f t="shared" si="2"/>
        <v>18100.12</v>
      </c>
      <c r="V23" s="93">
        <f t="shared" ref="V23:V29" si="4">N23</f>
        <v>435700.47000000003</v>
      </c>
      <c r="Y23" s="92">
        <v>33175.35</v>
      </c>
      <c r="Z23" s="92">
        <v>215.54</v>
      </c>
    </row>
    <row r="24" spans="1:26" s="92" customFormat="1" ht="45.75" thickBot="1">
      <c r="A24" s="32">
        <v>1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33">
        <f>'ТСЖ 4 кв.2021г.'!H26-'ТСЖ 4 кв.2021г.'!I26+W24+Y24+Z24</f>
        <v>221387.02000000005</v>
      </c>
      <c r="I24" s="61">
        <f>37295.69+W24</f>
        <v>38575.32</v>
      </c>
      <c r="J24" s="33">
        <f>'ТСЖ 4 кв.2021г.'!J26+Y24+Z24+W24</f>
        <v>1375841.35</v>
      </c>
      <c r="K24" s="33">
        <f>'ТСЖ 4 кв.2021г.'!K26+'ТСЖ 1 кв.2022г.'!I24</f>
        <v>1195452.98</v>
      </c>
      <c r="L24" s="72"/>
      <c r="M24" s="61"/>
      <c r="N24" s="33">
        <f>'ТСЖ 4 кв.2021г.'!N26</f>
        <v>124391</v>
      </c>
      <c r="O24" s="121">
        <f t="shared" ref="O24:O27" si="5">K24-V24</f>
        <v>1071061.98</v>
      </c>
      <c r="P24" s="44">
        <v>420551</v>
      </c>
      <c r="Q24" s="65">
        <f>K24/J24*100</f>
        <v>86.88886840041549</v>
      </c>
      <c r="S24" s="93">
        <f t="shared" si="1"/>
        <v>181668.00000000012</v>
      </c>
      <c r="T24" s="93">
        <f t="shared" si="2"/>
        <v>182811.70000000004</v>
      </c>
      <c r="V24" s="93">
        <f t="shared" si="4"/>
        <v>124391</v>
      </c>
      <c r="W24" s="92">
        <v>1279.6300000000001</v>
      </c>
      <c r="Y24" s="92">
        <v>44908.02</v>
      </c>
      <c r="Z24" s="92">
        <v>4460.62</v>
      </c>
    </row>
    <row r="25" spans="1:26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4 кв.2021г.'!H27-'ТСЖ 4 кв.2021г.'!I27+W25+Y25+Z25</f>
        <v>19141.540000000015</v>
      </c>
      <c r="I25" s="33">
        <f>15738.43-37563.07</f>
        <v>-21824.639999999999</v>
      </c>
      <c r="J25" s="33">
        <f>'ТСЖ 4 кв.2021г.'!J27+Y25+Z25+W25</f>
        <v>549874.17000000004</v>
      </c>
      <c r="K25" s="33">
        <f>'ТСЖ 4 кв.2021г.'!K27+'ТСЖ 1 кв.2022г.'!I25</f>
        <v>509301.97</v>
      </c>
      <c r="L25" s="43"/>
      <c r="M25" s="66"/>
      <c r="N25" s="33">
        <f>'ТСЖ 4 кв.2021г.'!N27</f>
        <v>248930</v>
      </c>
      <c r="O25" s="105">
        <f t="shared" si="5"/>
        <v>260371.96999999997</v>
      </c>
      <c r="P25" s="44">
        <v>146097.04999999999</v>
      </c>
      <c r="Q25" s="46">
        <f t="shared" si="3"/>
        <v>92.621548308042904</v>
      </c>
      <c r="S25" s="93">
        <f t="shared" si="1"/>
        <v>40572.20000000007</v>
      </c>
      <c r="T25" s="93">
        <f t="shared" si="2"/>
        <v>40966.180000000015</v>
      </c>
      <c r="U25" s="93"/>
      <c r="V25" s="93">
        <f t="shared" si="4"/>
        <v>248930</v>
      </c>
      <c r="Y25" s="92">
        <v>18046.5</v>
      </c>
      <c r="Z25" s="92">
        <v>640.58000000000004</v>
      </c>
    </row>
    <row r="26" spans="1:26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4 кв.2021г.'!H28-'ТСЖ 4 кв.2021г.'!I28+W26+Y26+Z26</f>
        <v>165206.97</v>
      </c>
      <c r="I26" s="33">
        <v>22060.720000000001</v>
      </c>
      <c r="J26" s="33">
        <f>'ТСЖ 4 кв.2021г.'!J28+Y26+Z26+W26</f>
        <v>1031364.41</v>
      </c>
      <c r="K26" s="33">
        <f>'ТСЖ 4 кв.2021г.'!K28+'ТСЖ 1 кв.2022г.'!I26</f>
        <v>889787.6100000001</v>
      </c>
      <c r="L26" s="43"/>
      <c r="M26" s="33"/>
      <c r="N26" s="33">
        <f>'ТСЖ 4 кв.2021г.'!N28</f>
        <v>532320</v>
      </c>
      <c r="O26" s="105">
        <f t="shared" si="5"/>
        <v>357467.6100000001</v>
      </c>
      <c r="P26" s="44">
        <v>235115.53</v>
      </c>
      <c r="Q26" s="46">
        <f>K26/J26*100</f>
        <v>86.272863536177297</v>
      </c>
      <c r="S26" s="93">
        <f t="shared" si="1"/>
        <v>141576.79999999993</v>
      </c>
      <c r="T26" s="93">
        <f t="shared" si="2"/>
        <v>143146.25</v>
      </c>
      <c r="V26" s="93">
        <f t="shared" si="4"/>
        <v>532320</v>
      </c>
      <c r="Y26" s="92">
        <v>33696.870000000003</v>
      </c>
      <c r="Z26" s="92">
        <v>3103.64</v>
      </c>
    </row>
    <row r="27" spans="1:26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'ТСЖ 4 кв.2021г.'!H29-'ТСЖ 4 кв.2021г.'!I29+W27+Y27+Z27</f>
        <v>161512.88999999996</v>
      </c>
      <c r="I27" s="33">
        <v>33759.589999999997</v>
      </c>
      <c r="J27" s="33">
        <f>'ТСЖ 4 кв.2021г.'!J29+Y27+Z27+W27</f>
        <v>1018789.8300000002</v>
      </c>
      <c r="K27" s="33">
        <f>'ТСЖ 4 кв.2021г.'!K29+'ТСЖ 1 кв.2022г.'!I27</f>
        <v>892467.41</v>
      </c>
      <c r="L27" s="43"/>
      <c r="M27" s="66"/>
      <c r="N27" s="33">
        <f>'ТСЖ 4 кв.2021г.'!N29</f>
        <v>475020</v>
      </c>
      <c r="O27" s="121">
        <f t="shared" si="5"/>
        <v>417447.41000000003</v>
      </c>
      <c r="P27" s="44">
        <v>287247.24</v>
      </c>
      <c r="Q27" s="46">
        <f>K27/J27*100</f>
        <v>87.600738024642425</v>
      </c>
      <c r="S27" s="93">
        <f t="shared" si="1"/>
        <v>126322.42000000016</v>
      </c>
      <c r="T27" s="93">
        <f t="shared" si="2"/>
        <v>127753.29999999996</v>
      </c>
      <c r="V27" s="93">
        <f t="shared" si="4"/>
        <v>475020</v>
      </c>
      <c r="Y27" s="92">
        <v>33302.550000000003</v>
      </c>
      <c r="Z27" s="92">
        <v>2515.86</v>
      </c>
    </row>
    <row r="28" spans="1:26" s="92" customFormat="1" ht="51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4 кв.2021г.'!H30-'ТСЖ 4 кв.2021г.'!I30+W28+Y28+Z28</f>
        <v>182059.27000000002</v>
      </c>
      <c r="I28" s="33">
        <v>70574.039999999994</v>
      </c>
      <c r="J28" s="33">
        <f>'ТСЖ 4 кв.2021г.'!J30+Y28+Z28+W28</f>
        <v>1567162.9100000001</v>
      </c>
      <c r="K28" s="33">
        <f>'ТСЖ 4 кв.2021г.'!K30+'ТСЖ 1 кв.2022г.'!I28</f>
        <v>1458602.5599999998</v>
      </c>
      <c r="L28" s="43"/>
      <c r="M28" s="33"/>
      <c r="N28" s="33">
        <f>'ТСЖ 4 кв.2021г.'!N30</f>
        <v>774822</v>
      </c>
      <c r="O28" s="105">
        <f>K28-V28</f>
        <v>683780.55999999982</v>
      </c>
      <c r="P28" s="44">
        <v>354498.41</v>
      </c>
      <c r="Q28" s="46">
        <f t="shared" si="3"/>
        <v>93.072810152200418</v>
      </c>
      <c r="S28" s="93">
        <f t="shared" si="1"/>
        <v>108560.35000000033</v>
      </c>
      <c r="T28" s="93">
        <f t="shared" si="2"/>
        <v>111485.23000000003</v>
      </c>
      <c r="U28" s="93"/>
      <c r="V28" s="93">
        <f t="shared" si="4"/>
        <v>774822</v>
      </c>
      <c r="Y28" s="92">
        <f>51287.04-532.12</f>
        <v>50754.92</v>
      </c>
      <c r="Z28" s="92">
        <f>2541.89-42.83</f>
        <v>2499.06</v>
      </c>
    </row>
    <row r="29" spans="1:26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4 кв.2021г.'!H32-'ТСЖ 4 кв.2021г.'!I32+W29+Y29+Z29</f>
        <v>146572.96999999988</v>
      </c>
      <c r="I29" s="33">
        <v>30547.759999999998</v>
      </c>
      <c r="J29" s="33">
        <f>'ТСЖ 4 кв.2021г.'!J32+Y29+Z29+W29</f>
        <v>1038160.3699999998</v>
      </c>
      <c r="K29" s="33">
        <f>'ТСЖ 4 кв.2021г.'!K32+'ТСЖ 1 кв.2022г.'!I29</f>
        <v>923658.8600000001</v>
      </c>
      <c r="L29" s="43"/>
      <c r="M29" s="66"/>
      <c r="N29" s="33">
        <f>'ТСЖ 4 кв.2021г.'!N32</f>
        <v>721587</v>
      </c>
      <c r="O29" s="105">
        <f>K29-V29</f>
        <v>202071.8600000001</v>
      </c>
      <c r="P29" s="44">
        <v>309141.18</v>
      </c>
      <c r="Q29" s="46">
        <f>K29/J29*100</f>
        <v>88.970730023146643</v>
      </c>
      <c r="S29" s="48">
        <f t="shared" si="1"/>
        <v>114501.50999999966</v>
      </c>
      <c r="T29" s="48">
        <f t="shared" si="2"/>
        <v>116025.20999999989</v>
      </c>
      <c r="V29" s="93">
        <f t="shared" si="4"/>
        <v>721587</v>
      </c>
      <c r="Y29" s="49">
        <f>34020.38-65.93</f>
        <v>33954.449999999997</v>
      </c>
      <c r="Z29" s="49">
        <v>2610.11</v>
      </c>
    </row>
    <row r="30" spans="1:26" ht="12.75" customHeight="1">
      <c r="A30" s="2"/>
      <c r="Y30" s="100">
        <f>SUM(Y15:Y29)</f>
        <v>549676.6399999999</v>
      </c>
      <c r="Z30" s="100">
        <f>SUM(Z15:Z29)</f>
        <v>39629.07</v>
      </c>
    </row>
    <row r="31" spans="1:26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6" ht="18.75" customHeight="1">
      <c r="A32" s="2"/>
      <c r="B32" s="107" t="s">
        <v>164</v>
      </c>
      <c r="C32" s="202" t="s">
        <v>352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Y32" s="100"/>
    </row>
    <row r="33" spans="1:15" hidden="1">
      <c r="A33" s="2"/>
      <c r="B33" s="108" t="s">
        <v>165</v>
      </c>
      <c r="C33" s="202" t="s">
        <v>303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 hidden="1">
      <c r="A34" s="2"/>
      <c r="B34" s="108" t="s">
        <v>166</v>
      </c>
      <c r="C34" s="202" t="s">
        <v>336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15" ht="15.75" hidden="1" customHeight="1">
      <c r="A35" s="2"/>
      <c r="B35" s="108" t="s">
        <v>167</v>
      </c>
      <c r="C35" s="202" t="s">
        <v>337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15" ht="15.75" hidden="1" customHeight="1">
      <c r="A36" s="2"/>
      <c r="B36" s="108" t="s">
        <v>168</v>
      </c>
      <c r="C36" s="202" t="s">
        <v>338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15" hidden="1">
      <c r="A37" s="2"/>
      <c r="B37" s="108" t="s">
        <v>165</v>
      </c>
      <c r="C37" s="202" t="s">
        <v>339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15" hidden="1">
      <c r="A38" s="2"/>
      <c r="B38" s="108" t="s">
        <v>166</v>
      </c>
      <c r="C38" s="202" t="s">
        <v>340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15" ht="15.75" hidden="1" customHeight="1">
      <c r="A39" s="2"/>
      <c r="B39" s="108" t="s">
        <v>167</v>
      </c>
      <c r="C39" s="202" t="s">
        <v>341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15" ht="15.75" hidden="1" customHeight="1">
      <c r="A40" s="2"/>
      <c r="B40" s="108" t="s">
        <v>168</v>
      </c>
      <c r="C40" s="202" t="s">
        <v>342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5" ht="15" hidden="1" customHeight="1">
      <c r="A41" s="2"/>
      <c r="B41" s="108" t="s">
        <v>171</v>
      </c>
      <c r="C41" s="202" t="s">
        <v>343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15" ht="15.75" hidden="1" customHeight="1">
      <c r="A42" s="2"/>
      <c r="B42" s="108" t="s">
        <v>176</v>
      </c>
      <c r="C42" s="202" t="s">
        <v>344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15" ht="15.75" hidden="1" customHeight="1">
      <c r="A43" s="2"/>
      <c r="B43" s="108" t="s">
        <v>177</v>
      </c>
      <c r="C43" s="202" t="s">
        <v>345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15" ht="15.75">
      <c r="A44" s="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s="27" customFormat="1" ht="15.75">
      <c r="A45" s="4" t="str">
        <f>'УК 1кв. 2022г.'!A36</f>
        <v>06 апреля 2022г.</v>
      </c>
      <c r="I45" s="28"/>
    </row>
    <row r="46" spans="1:15" s="27" customFormat="1" ht="15.75">
      <c r="A46" s="4"/>
      <c r="I46" s="28"/>
    </row>
    <row r="47" spans="1:15" s="27" customFormat="1" ht="15.75">
      <c r="A47" s="4"/>
      <c r="I47" s="28"/>
    </row>
    <row r="48" spans="1:15" s="27" customFormat="1" ht="15.75">
      <c r="A48" s="4" t="s">
        <v>47</v>
      </c>
      <c r="I48" s="28"/>
    </row>
    <row r="49" spans="1:11" s="27" customFormat="1" ht="15.75" hidden="1">
      <c r="A49" s="30" t="s">
        <v>48</v>
      </c>
      <c r="I49" s="28"/>
    </row>
    <row r="50" spans="1:11">
      <c r="A50" s="1"/>
    </row>
    <row r="51" spans="1:11">
      <c r="A51" s="1"/>
      <c r="K51" s="3"/>
    </row>
    <row r="52" spans="1:11">
      <c r="A52" s="1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</sheetData>
  <mergeCells count="36">
    <mergeCell ref="C43:O43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F11:F13"/>
    <mergeCell ref="G11:G13"/>
    <mergeCell ref="H11:I11"/>
    <mergeCell ref="J11:K11"/>
    <mergeCell ref="L11:N11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6"/>
  <sheetViews>
    <sheetView topLeftCell="A19" zoomScaleNormal="100" workbookViewId="0">
      <selection activeCell="B53" sqref="B53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hidden="1" customWidth="1"/>
    <col min="19" max="19" width="13.5703125" style="13" hidden="1" customWidth="1"/>
    <col min="20" max="20" width="0" style="13" hidden="1" customWidth="1"/>
    <col min="21" max="21" width="10" style="13" hidden="1" customWidth="1"/>
    <col min="22" max="22" width="10.42578125" style="13" hidden="1" customWidth="1"/>
    <col min="23" max="24" width="0" style="13" hidden="1" customWidth="1"/>
    <col min="25" max="25" width="11.42578125" style="3" hidden="1" customWidth="1"/>
    <col min="26" max="26" width="9.28515625" style="3" hidden="1" customWidth="1"/>
    <col min="27" max="28" width="0" hidden="1" customWidth="1"/>
    <col min="29" max="29" width="12.28515625" hidden="1" customWidth="1"/>
    <col min="30" max="30" width="0" style="13" hidden="1" customWidth="1"/>
    <col min="31" max="16384" width="9.140625" style="13"/>
  </cols>
  <sheetData>
    <row r="1" spans="1:29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Y1" s="26"/>
      <c r="Z1" s="26"/>
      <c r="AA1" s="17"/>
      <c r="AB1" s="17"/>
      <c r="AC1" s="17"/>
    </row>
    <row r="2" spans="1:29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Y2" s="26"/>
      <c r="Z2" s="26"/>
    </row>
    <row r="3" spans="1:29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  <c r="Y3" s="37"/>
      <c r="Z3" s="37"/>
      <c r="AA3" s="13"/>
      <c r="AB3" s="13"/>
      <c r="AC3" s="13"/>
    </row>
    <row r="4" spans="1:29" ht="15.75">
      <c r="A4" s="158" t="s">
        <v>490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Y4" s="37"/>
      <c r="Z4" s="37"/>
      <c r="AA4" s="13"/>
      <c r="AB4" s="13"/>
      <c r="AC4" s="13"/>
    </row>
    <row r="5" spans="1:29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  <c r="Y5" s="37"/>
      <c r="Z5" s="37"/>
      <c r="AA5" s="13"/>
      <c r="AB5" s="13"/>
      <c r="AC5" s="13"/>
    </row>
    <row r="6" spans="1:29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  <c r="Y6" s="37"/>
      <c r="Z6" s="37"/>
      <c r="AA6" s="13"/>
      <c r="AB6" s="13"/>
      <c r="AC6" s="13"/>
    </row>
    <row r="7" spans="1:29" ht="15.75">
      <c r="A7" s="1" t="s">
        <v>7</v>
      </c>
      <c r="D7" s="18" t="s">
        <v>51</v>
      </c>
      <c r="E7" s="17"/>
      <c r="F7" s="17"/>
      <c r="G7" s="17"/>
      <c r="H7" s="17"/>
      <c r="Y7" s="37"/>
      <c r="Z7" s="37"/>
      <c r="AA7" s="13"/>
      <c r="AB7" s="13"/>
      <c r="AC7" s="13"/>
    </row>
    <row r="8" spans="1:29">
      <c r="A8" s="1" t="s">
        <v>8</v>
      </c>
      <c r="Y8" s="37"/>
      <c r="Z8" s="37"/>
      <c r="AA8" s="13"/>
      <c r="AB8" s="13"/>
      <c r="AC8" s="13"/>
    </row>
    <row r="9" spans="1:29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  <c r="Y9" s="37"/>
      <c r="Z9" s="37"/>
      <c r="AA9" s="13"/>
      <c r="AB9" s="13"/>
      <c r="AC9" s="13"/>
    </row>
    <row r="10" spans="1:29" ht="15.75">
      <c r="A10" s="18" t="s">
        <v>61</v>
      </c>
      <c r="Y10" s="37"/>
      <c r="Z10" s="37"/>
      <c r="AA10" s="13"/>
      <c r="AB10" s="13"/>
      <c r="AC10" s="13"/>
    </row>
    <row r="11" spans="1:29" ht="15.75">
      <c r="A11" s="18" t="s">
        <v>62</v>
      </c>
      <c r="Y11" s="39"/>
      <c r="Z11" s="39"/>
      <c r="AA11" s="38"/>
      <c r="AB11" s="38"/>
      <c r="AC11" s="38"/>
    </row>
    <row r="12" spans="1:29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  <c r="Y12" s="39"/>
      <c r="Z12" s="39"/>
      <c r="AA12" s="38"/>
      <c r="AB12" s="38"/>
      <c r="AC12" s="38"/>
    </row>
    <row r="13" spans="1:29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  <c r="Y13" s="39"/>
      <c r="Z13" s="39"/>
      <c r="AA13" s="38"/>
      <c r="AB13" s="38"/>
      <c r="AC13" s="38"/>
    </row>
    <row r="14" spans="1:29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  <c r="Y14" s="39" t="s">
        <v>388</v>
      </c>
      <c r="Z14" s="39" t="s">
        <v>427</v>
      </c>
      <c r="AA14" s="14" t="s">
        <v>451</v>
      </c>
      <c r="AB14" s="14" t="s">
        <v>453</v>
      </c>
      <c r="AC14" s="14"/>
    </row>
    <row r="15" spans="1:29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  <c r="Y15" s="48"/>
      <c r="Z15" s="48"/>
      <c r="AA15" s="49"/>
      <c r="AB15" s="49"/>
      <c r="AC15" s="49"/>
    </row>
    <row r="16" spans="1:29" s="15" customFormat="1" ht="30.75" customHeight="1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9312.5</v>
      </c>
      <c r="G16" s="32">
        <v>7.34</v>
      </c>
      <c r="H16" s="33">
        <v>499127.29</v>
      </c>
      <c r="I16" s="33">
        <v>182042.28</v>
      </c>
      <c r="J16" s="33">
        <v>6839671.4399999985</v>
      </c>
      <c r="K16" s="33">
        <v>6603363.120000001</v>
      </c>
      <c r="L16" s="64"/>
      <c r="M16" s="47"/>
      <c r="N16" s="33">
        <v>894970.86</v>
      </c>
      <c r="O16" s="33">
        <v>5708392.2600000007</v>
      </c>
      <c r="P16" s="110">
        <v>96.545034040407103</v>
      </c>
      <c r="R16" s="19">
        <f>J16-K16</f>
        <v>236308.3199999975</v>
      </c>
      <c r="S16" s="19">
        <f>H16-I16</f>
        <v>317085.01</v>
      </c>
      <c r="V16" s="129">
        <v>205097.92</v>
      </c>
      <c r="W16" s="129">
        <f>7235.82-6.74</f>
        <v>7229.08</v>
      </c>
      <c r="X16" s="130"/>
      <c r="Y16" s="129">
        <v>181682.36</v>
      </c>
      <c r="Z16" s="129">
        <v>359.92</v>
      </c>
      <c r="AA16" s="48"/>
      <c r="AB16" s="48"/>
      <c r="AC16" s="49">
        <f>F16*G16*3</f>
        <v>205061.25</v>
      </c>
    </row>
    <row r="17" spans="1:29" s="15" customFormat="1" ht="37.5" customHeight="1">
      <c r="A17" s="32">
        <v>2</v>
      </c>
      <c r="B17" s="32" t="s">
        <v>28</v>
      </c>
      <c r="C17" s="103" t="s">
        <v>406</v>
      </c>
      <c r="D17" s="32">
        <v>2011</v>
      </c>
      <c r="E17" s="32"/>
      <c r="F17" s="33">
        <v>3090.6</v>
      </c>
      <c r="G17" s="32">
        <v>10.36</v>
      </c>
      <c r="H17" s="33">
        <v>189715.23000000019</v>
      </c>
      <c r="I17" s="33">
        <v>76503.13</v>
      </c>
      <c r="J17" s="33">
        <v>2371865.4800000004</v>
      </c>
      <c r="K17" s="33">
        <v>2258653.38</v>
      </c>
      <c r="L17" s="32"/>
      <c r="M17" s="32"/>
      <c r="N17" s="33">
        <v>0</v>
      </c>
      <c r="O17" s="33">
        <v>2258653.38</v>
      </c>
      <c r="P17" s="110">
        <v>95.226875176749033</v>
      </c>
      <c r="R17" s="19">
        <f>J17-K17</f>
        <v>113212.10000000056</v>
      </c>
      <c r="S17" s="19">
        <f>H17-I17</f>
        <v>113212.10000000018</v>
      </c>
      <c r="V17" s="129">
        <v>96055.83</v>
      </c>
      <c r="W17" s="129">
        <v>4546.72</v>
      </c>
      <c r="X17" s="130"/>
      <c r="Y17" s="129">
        <v>76451.100000000006</v>
      </c>
      <c r="Z17" s="131">
        <v>52.03</v>
      </c>
      <c r="AA17" s="48"/>
      <c r="AB17" s="48"/>
      <c r="AC17" s="49">
        <f>F17*G17*3</f>
        <v>96055.847999999998</v>
      </c>
    </row>
    <row r="18" spans="1:29" s="15" customFormat="1" ht="42" customHeight="1">
      <c r="A18" s="32">
        <v>3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10.36</v>
      </c>
      <c r="H18" s="33">
        <v>568151.31000000017</v>
      </c>
      <c r="I18" s="33">
        <v>43391.91</v>
      </c>
      <c r="J18" s="33">
        <v>2629137.1799999997</v>
      </c>
      <c r="K18" s="33">
        <v>2104377.7800000003</v>
      </c>
      <c r="L18" s="34"/>
      <c r="M18" s="89"/>
      <c r="N18" s="33">
        <v>2103948.88</v>
      </c>
      <c r="O18" s="33">
        <v>428.90000000037253</v>
      </c>
      <c r="P18" s="110">
        <v>80.040623060984615</v>
      </c>
      <c r="R18" s="19">
        <f>J18-K18</f>
        <v>524759.39999999944</v>
      </c>
      <c r="S18" s="19">
        <f>H18-I18</f>
        <v>524759.40000000014</v>
      </c>
      <c r="V18" s="129">
        <f>78234.6-6762.04</f>
        <v>71472.560000000012</v>
      </c>
      <c r="W18" s="129">
        <f>13865.92-3727.77</f>
        <v>10138.15</v>
      </c>
      <c r="X18" s="130"/>
      <c r="Y18" s="129">
        <v>42792.5</v>
      </c>
      <c r="Z18" s="129">
        <v>599.41</v>
      </c>
      <c r="AA18" s="48"/>
      <c r="AB18" s="48"/>
      <c r="AC18" s="49">
        <f t="shared" ref="AC18:AC29" si="0">F18*G18*3</f>
        <v>78234.575999999986</v>
      </c>
    </row>
    <row r="19" spans="1:29" s="15" customFormat="1" ht="68.25" customHeight="1">
      <c r="A19" s="32"/>
      <c r="B19" s="32"/>
      <c r="C19" s="103"/>
      <c r="D19" s="32"/>
      <c r="E19" s="32"/>
      <c r="F19" s="33"/>
      <c r="G19" s="32"/>
      <c r="H19" s="33"/>
      <c r="I19" s="33"/>
      <c r="J19" s="33"/>
      <c r="K19" s="33"/>
      <c r="L19" s="147">
        <v>45757</v>
      </c>
      <c r="M19" s="89" t="s">
        <v>470</v>
      </c>
      <c r="N19" s="33">
        <v>38939.269999999997</v>
      </c>
      <c r="O19" s="33"/>
      <c r="P19" s="110"/>
      <c r="R19" s="19"/>
      <c r="S19" s="19"/>
      <c r="V19" s="129"/>
      <c r="W19" s="129"/>
      <c r="X19" s="130"/>
      <c r="Y19" s="129"/>
      <c r="Z19" s="129"/>
      <c r="AA19" s="48"/>
      <c r="AB19" s="48"/>
      <c r="AC19" s="49"/>
    </row>
    <row r="20" spans="1:29" s="15" customFormat="1" ht="68.25" customHeight="1">
      <c r="A20" s="32"/>
      <c r="B20" s="32"/>
      <c r="C20" s="103"/>
      <c r="D20" s="32"/>
      <c r="E20" s="32"/>
      <c r="F20" s="33"/>
      <c r="G20" s="32"/>
      <c r="H20" s="33"/>
      <c r="I20" s="33"/>
      <c r="J20" s="33"/>
      <c r="K20" s="33"/>
      <c r="L20" s="147">
        <v>45777</v>
      </c>
      <c r="M20" s="89" t="s">
        <v>470</v>
      </c>
      <c r="N20" s="33">
        <v>11143.86</v>
      </c>
      <c r="O20" s="33"/>
      <c r="P20" s="110"/>
      <c r="R20" s="19"/>
      <c r="S20" s="19"/>
      <c r="V20" s="129"/>
      <c r="W20" s="129"/>
      <c r="X20" s="130"/>
      <c r="Y20" s="129"/>
      <c r="Z20" s="129"/>
      <c r="AA20" s="48"/>
      <c r="AB20" s="48"/>
      <c r="AC20" s="49"/>
    </row>
    <row r="21" spans="1:29" s="15" customFormat="1" ht="68.25" customHeight="1">
      <c r="A21" s="32"/>
      <c r="B21" s="32"/>
      <c r="C21" s="103"/>
      <c r="D21" s="32"/>
      <c r="E21" s="32"/>
      <c r="F21" s="33"/>
      <c r="G21" s="32"/>
      <c r="H21" s="33"/>
      <c r="I21" s="33"/>
      <c r="J21" s="33"/>
      <c r="K21" s="33"/>
      <c r="L21" s="147">
        <v>45835</v>
      </c>
      <c r="M21" s="89" t="s">
        <v>470</v>
      </c>
      <c r="N21" s="33">
        <v>23879.759999999998</v>
      </c>
      <c r="O21" s="33"/>
      <c r="P21" s="110"/>
      <c r="R21" s="19"/>
      <c r="S21" s="19"/>
      <c r="V21" s="129"/>
      <c r="W21" s="129"/>
      <c r="X21" s="130"/>
      <c r="Y21" s="129"/>
      <c r="Z21" s="129"/>
      <c r="AA21" s="48"/>
      <c r="AB21" s="48"/>
      <c r="AC21" s="49"/>
    </row>
    <row r="22" spans="1:29" s="15" customFormat="1" ht="33" customHeight="1">
      <c r="A22" s="32">
        <v>4</v>
      </c>
      <c r="B22" s="32" t="s">
        <v>28</v>
      </c>
      <c r="C22" s="103" t="s">
        <v>408</v>
      </c>
      <c r="D22" s="32">
        <v>2012</v>
      </c>
      <c r="E22" s="32"/>
      <c r="F22" s="33">
        <v>2729.9</v>
      </c>
      <c r="G22" s="32">
        <v>10.36</v>
      </c>
      <c r="H22" s="33">
        <v>320778.50999999995</v>
      </c>
      <c r="I22" s="33">
        <v>133371.29</v>
      </c>
      <c r="J22" s="33">
        <v>2865191.2399999998</v>
      </c>
      <c r="K22" s="33">
        <v>2677784.0199999996</v>
      </c>
      <c r="L22" s="43"/>
      <c r="M22" s="91"/>
      <c r="N22" s="33">
        <v>2632395.4</v>
      </c>
      <c r="O22" s="33">
        <v>45388.619999999646</v>
      </c>
      <c r="P22" s="120">
        <v>93.459172379711717</v>
      </c>
      <c r="R22" s="19">
        <f>J22-K22</f>
        <v>187407.2200000002</v>
      </c>
      <c r="S22" s="19">
        <f t="shared" ref="S22:S29" si="1">H22-I22</f>
        <v>187407.21999999994</v>
      </c>
      <c r="U22" s="19"/>
      <c r="V22" s="129">
        <v>84845.19</v>
      </c>
      <c r="W22" s="129">
        <v>7767.14</v>
      </c>
      <c r="X22" s="130"/>
      <c r="Y22" s="129">
        <v>114078.69</v>
      </c>
      <c r="Z22" s="129">
        <f>11592.6+2850+4850</f>
        <v>19292.599999999999</v>
      </c>
      <c r="AA22" s="48"/>
      <c r="AB22" s="48"/>
      <c r="AC22" s="49">
        <f t="shared" si="0"/>
        <v>84845.292000000001</v>
      </c>
    </row>
    <row r="23" spans="1:29" s="15" customFormat="1" ht="68.25" customHeight="1">
      <c r="A23" s="32"/>
      <c r="B23" s="32"/>
      <c r="C23" s="103"/>
      <c r="D23" s="32"/>
      <c r="E23" s="32"/>
      <c r="F23" s="33"/>
      <c r="G23" s="32"/>
      <c r="H23" s="33"/>
      <c r="I23" s="33"/>
      <c r="J23" s="33"/>
      <c r="K23" s="33"/>
      <c r="L23" s="147">
        <v>45757</v>
      </c>
      <c r="M23" s="89" t="s">
        <v>469</v>
      </c>
      <c r="N23" s="33">
        <v>76560.27</v>
      </c>
      <c r="O23" s="33"/>
      <c r="P23" s="110"/>
      <c r="R23" s="19"/>
      <c r="S23" s="19"/>
      <c r="V23" s="129"/>
      <c r="W23" s="129"/>
      <c r="X23" s="130"/>
      <c r="Y23" s="129"/>
      <c r="Z23" s="129"/>
      <c r="AA23" s="48"/>
      <c r="AB23" s="48"/>
      <c r="AC23" s="49"/>
    </row>
    <row r="24" spans="1:29" s="15" customFormat="1" ht="68.25" customHeight="1">
      <c r="A24" s="32"/>
      <c r="B24" s="32"/>
      <c r="C24" s="103"/>
      <c r="D24" s="32"/>
      <c r="E24" s="32"/>
      <c r="F24" s="33"/>
      <c r="G24" s="32"/>
      <c r="H24" s="33"/>
      <c r="I24" s="33"/>
      <c r="J24" s="33"/>
      <c r="K24" s="33"/>
      <c r="L24" s="147">
        <v>45777</v>
      </c>
      <c r="M24" s="89" t="s">
        <v>469</v>
      </c>
      <c r="N24" s="33">
        <v>21626.45</v>
      </c>
      <c r="O24" s="33"/>
      <c r="P24" s="110"/>
      <c r="R24" s="19"/>
      <c r="S24" s="19"/>
      <c r="V24" s="129"/>
      <c r="W24" s="129"/>
      <c r="X24" s="130"/>
      <c r="Y24" s="129"/>
      <c r="Z24" s="129"/>
      <c r="AA24" s="48"/>
      <c r="AB24" s="48"/>
      <c r="AC24" s="49"/>
    </row>
    <row r="25" spans="1:29" s="15" customFormat="1" ht="68.25" customHeight="1">
      <c r="A25" s="32"/>
      <c r="B25" s="32"/>
      <c r="C25" s="103"/>
      <c r="D25" s="32"/>
      <c r="E25" s="32"/>
      <c r="F25" s="33"/>
      <c r="G25" s="32"/>
      <c r="H25" s="33"/>
      <c r="I25" s="33"/>
      <c r="J25" s="33"/>
      <c r="K25" s="33"/>
      <c r="L25" s="147">
        <v>45797</v>
      </c>
      <c r="M25" s="89" t="s">
        <v>493</v>
      </c>
      <c r="N25" s="33">
        <v>44351.07</v>
      </c>
      <c r="O25" s="33"/>
      <c r="P25" s="110"/>
      <c r="R25" s="19"/>
      <c r="S25" s="19"/>
      <c r="V25" s="129"/>
      <c r="W25" s="129"/>
      <c r="X25" s="130"/>
      <c r="Y25" s="129"/>
      <c r="Z25" s="129"/>
      <c r="AA25" s="48"/>
      <c r="AB25" s="48"/>
      <c r="AC25" s="49"/>
    </row>
    <row r="26" spans="1:29" ht="35.25" customHeight="1">
      <c r="A26" s="32">
        <v>5</v>
      </c>
      <c r="B26" s="32" t="s">
        <v>28</v>
      </c>
      <c r="C26" s="103" t="s">
        <v>409</v>
      </c>
      <c r="D26" s="32">
        <v>2007</v>
      </c>
      <c r="E26" s="32"/>
      <c r="F26" s="33">
        <v>2918.7</v>
      </c>
      <c r="G26" s="32">
        <v>10.36</v>
      </c>
      <c r="H26" s="33">
        <v>86311.01999999996</v>
      </c>
      <c r="I26" s="33">
        <v>84869.28</v>
      </c>
      <c r="J26" s="33">
        <v>3054253.6299999994</v>
      </c>
      <c r="K26" s="33">
        <v>2799475.3600000003</v>
      </c>
      <c r="L26" s="32"/>
      <c r="M26" s="32"/>
      <c r="N26" s="33">
        <v>650595</v>
      </c>
      <c r="O26" s="33">
        <v>2148880.3600000003</v>
      </c>
      <c r="P26" s="120">
        <v>91.658247779507448</v>
      </c>
      <c r="R26" s="19">
        <f>J26-K26</f>
        <v>254778.26999999909</v>
      </c>
      <c r="S26" s="19">
        <f t="shared" si="1"/>
        <v>1441.7399999999616</v>
      </c>
      <c r="V26" s="129">
        <v>90713.13</v>
      </c>
      <c r="W26" s="129">
        <v>7804.08</v>
      </c>
      <c r="X26" s="130"/>
      <c r="Y26" s="129">
        <v>84505.05</v>
      </c>
      <c r="Z26" s="131">
        <v>364.23</v>
      </c>
      <c r="AA26" s="48"/>
      <c r="AB26" s="48"/>
      <c r="AC26" s="49">
        <f t="shared" si="0"/>
        <v>90713.195999999996</v>
      </c>
    </row>
    <row r="27" spans="1:29" ht="35.25" customHeight="1">
      <c r="A27" s="32">
        <v>6</v>
      </c>
      <c r="B27" s="32" t="s">
        <v>28</v>
      </c>
      <c r="C27" s="103" t="s">
        <v>410</v>
      </c>
      <c r="D27" s="32">
        <v>2018</v>
      </c>
      <c r="E27" s="32"/>
      <c r="F27" s="33">
        <v>4764.6000000000004</v>
      </c>
      <c r="G27" s="32">
        <v>10.36</v>
      </c>
      <c r="H27" s="33">
        <v>402679.9599999999</v>
      </c>
      <c r="I27" s="33">
        <v>139122.29999999999</v>
      </c>
      <c r="J27" s="33">
        <v>2315579.21</v>
      </c>
      <c r="K27" s="33">
        <v>2041324.6</v>
      </c>
      <c r="L27" s="32"/>
      <c r="M27" s="32"/>
      <c r="N27" s="33">
        <v>0</v>
      </c>
      <c r="O27" s="33">
        <v>2041324.6</v>
      </c>
      <c r="P27" s="120">
        <v>88.156111921561092</v>
      </c>
      <c r="R27" s="19">
        <f t="shared" ref="R27:R29" si="2">J27-K27</f>
        <v>274254.60999999987</v>
      </c>
      <c r="S27" s="19">
        <f t="shared" si="1"/>
        <v>263557.65999999992</v>
      </c>
      <c r="V27" s="129">
        <v>148083.78</v>
      </c>
      <c r="W27" s="129">
        <v>10461.09</v>
      </c>
      <c r="X27" s="131"/>
      <c r="Y27" s="129">
        <v>137844.99</v>
      </c>
      <c r="Z27" s="129">
        <v>1277.31</v>
      </c>
      <c r="AA27" s="48"/>
      <c r="AB27" s="48"/>
      <c r="AC27" s="49">
        <f t="shared" si="0"/>
        <v>148083.76800000001</v>
      </c>
    </row>
    <row r="28" spans="1:29" ht="35.25" customHeight="1">
      <c r="A28" s="32">
        <v>7</v>
      </c>
      <c r="B28" s="32" t="s">
        <v>28</v>
      </c>
      <c r="C28" s="103" t="s">
        <v>411</v>
      </c>
      <c r="D28" s="32">
        <v>2007</v>
      </c>
      <c r="E28" s="32"/>
      <c r="F28" s="33">
        <v>1202.9000000000001</v>
      </c>
      <c r="G28" s="32">
        <v>7.34</v>
      </c>
      <c r="H28" s="33">
        <v>159481.52999999994</v>
      </c>
      <c r="I28" s="33">
        <v>24241.360000000001</v>
      </c>
      <c r="J28" s="33">
        <v>884150.02000000037</v>
      </c>
      <c r="K28" s="33">
        <v>762540.7</v>
      </c>
      <c r="L28" s="32"/>
      <c r="M28" s="32"/>
      <c r="N28" s="33">
        <v>0</v>
      </c>
      <c r="O28" s="33">
        <v>762540.7</v>
      </c>
      <c r="P28" s="120">
        <v>86.245623791310848</v>
      </c>
      <c r="R28" s="19">
        <f t="shared" si="2"/>
        <v>121609.32000000041</v>
      </c>
      <c r="S28" s="19">
        <f t="shared" si="1"/>
        <v>135240.16999999993</v>
      </c>
      <c r="V28" s="129">
        <v>26487.9</v>
      </c>
      <c r="W28" s="129">
        <v>4597.04</v>
      </c>
      <c r="X28" s="130"/>
      <c r="Y28" s="129">
        <v>21206.93</v>
      </c>
      <c r="Z28" s="130">
        <v>3034.43</v>
      </c>
      <c r="AA28" s="48"/>
      <c r="AB28" s="48"/>
      <c r="AC28" s="49">
        <f t="shared" si="0"/>
        <v>26487.858</v>
      </c>
    </row>
    <row r="29" spans="1:29" ht="35.25" customHeight="1">
      <c r="A29" s="32">
        <v>8</v>
      </c>
      <c r="B29" s="32" t="s">
        <v>28</v>
      </c>
      <c r="C29" s="103" t="s">
        <v>412</v>
      </c>
      <c r="D29" s="32">
        <v>2006</v>
      </c>
      <c r="E29" s="32"/>
      <c r="F29" s="33">
        <v>1201.8</v>
      </c>
      <c r="G29" s="32">
        <v>7.34</v>
      </c>
      <c r="H29" s="33">
        <v>52168.449999999983</v>
      </c>
      <c r="I29" s="33">
        <v>32079.49</v>
      </c>
      <c r="J29" s="33">
        <v>821388.33</v>
      </c>
      <c r="K29" s="33">
        <v>790604.05</v>
      </c>
      <c r="L29" s="32"/>
      <c r="M29" s="32"/>
      <c r="N29" s="33">
        <v>369062</v>
      </c>
      <c r="O29" s="33">
        <v>421542.05000000005</v>
      </c>
      <c r="P29" s="120">
        <v>96.252164916927924</v>
      </c>
      <c r="R29" s="19">
        <f t="shared" si="2"/>
        <v>30784.279999999912</v>
      </c>
      <c r="S29" s="19">
        <f t="shared" si="1"/>
        <v>20088.959999999981</v>
      </c>
      <c r="V29" s="129">
        <v>26463.63</v>
      </c>
      <c r="W29" s="129">
        <v>556.52</v>
      </c>
      <c r="X29" s="130"/>
      <c r="Y29" s="129">
        <v>25883.54</v>
      </c>
      <c r="Z29" s="129">
        <v>6195.95</v>
      </c>
      <c r="AA29" s="48"/>
      <c r="AB29" s="48"/>
      <c r="AC29" s="49">
        <f t="shared" si="0"/>
        <v>26463.635999999999</v>
      </c>
    </row>
    <row r="30" spans="1:29">
      <c r="A30" s="67"/>
      <c r="B30" s="67"/>
      <c r="C30" s="67"/>
      <c r="D30" s="67"/>
      <c r="E30" s="67"/>
      <c r="F30" s="68"/>
      <c r="G30" s="67"/>
      <c r="H30" s="68"/>
      <c r="I30" s="68"/>
      <c r="J30" s="68"/>
      <c r="K30" s="68"/>
      <c r="L30" s="67"/>
      <c r="M30" s="67"/>
      <c r="N30" s="67"/>
      <c r="O30" s="68"/>
      <c r="P30" s="63"/>
      <c r="V30" s="37">
        <f>SUM(V16:V29)</f>
        <v>749219.94000000006</v>
      </c>
      <c r="W30" s="37">
        <f>SUM(W16:W29)</f>
        <v>53099.819999999992</v>
      </c>
      <c r="X30" s="37">
        <f t="shared" ref="X30:Z30" si="3">SUM(X16:X29)</f>
        <v>0</v>
      </c>
      <c r="Y30" s="37">
        <f t="shared" si="3"/>
        <v>684445.16</v>
      </c>
      <c r="Z30" s="37">
        <f t="shared" si="3"/>
        <v>31175.88</v>
      </c>
      <c r="AA30" s="48"/>
      <c r="AB30" s="48"/>
      <c r="AC30" s="49">
        <f t="shared" ref="AC30:AC39" si="4">E30*F30*3</f>
        <v>0</v>
      </c>
    </row>
    <row r="31" spans="1:29" s="17" customFormat="1" ht="12" hidden="1" customHeight="1">
      <c r="A31" s="4" t="s">
        <v>64</v>
      </c>
      <c r="C31" s="90"/>
      <c r="D31" s="90"/>
      <c r="E31" s="90"/>
      <c r="F31" s="90"/>
      <c r="G31" s="90"/>
      <c r="H31" s="90"/>
      <c r="I31" s="90"/>
      <c r="J31" s="90"/>
      <c r="K31" s="90"/>
      <c r="L31" s="4"/>
      <c r="P31" s="62"/>
      <c r="Y31" s="124"/>
      <c r="Z31" s="124"/>
      <c r="AA31" s="48"/>
      <c r="AB31" s="48"/>
      <c r="AC31" s="49">
        <f t="shared" si="4"/>
        <v>0</v>
      </c>
    </row>
    <row r="32" spans="1:29" s="17" customFormat="1" ht="16.5" hidden="1" customHeight="1">
      <c r="A32" s="4"/>
      <c r="B32" s="136" t="s">
        <v>492</v>
      </c>
      <c r="C32" s="136"/>
      <c r="D32" s="136"/>
      <c r="E32" s="136"/>
      <c r="F32" s="136"/>
      <c r="G32" s="136"/>
      <c r="H32" s="136"/>
      <c r="I32" s="136"/>
      <c r="J32" s="136"/>
      <c r="K32" s="90"/>
      <c r="L32" s="4"/>
      <c r="P32" s="62"/>
      <c r="Y32" s="124"/>
      <c r="Z32" s="124"/>
      <c r="AA32" s="48"/>
      <c r="AB32" s="48"/>
      <c r="AC32" s="49">
        <f t="shared" si="4"/>
        <v>0</v>
      </c>
    </row>
    <row r="33" spans="1:29" s="62" customFormat="1" ht="18" hidden="1" customHeight="1">
      <c r="A33" s="111"/>
      <c r="B33" s="191" t="s">
        <v>500</v>
      </c>
      <c r="C33" s="191"/>
      <c r="D33" s="191"/>
      <c r="E33" s="191"/>
      <c r="F33" s="191"/>
      <c r="G33" s="191"/>
      <c r="H33" s="191"/>
      <c r="I33" s="191"/>
      <c r="J33" s="15"/>
      <c r="K33" s="15"/>
      <c r="Y33" s="124"/>
      <c r="Z33" s="124"/>
      <c r="AA33" s="48"/>
      <c r="AB33" s="48"/>
      <c r="AC33" s="49">
        <f t="shared" si="4"/>
        <v>0</v>
      </c>
    </row>
    <row r="34" spans="1:29" s="62" customFormat="1" ht="14.25" hidden="1" customHeight="1">
      <c r="A34" s="111"/>
      <c r="B34" s="13" t="s">
        <v>472</v>
      </c>
      <c r="C34" s="154"/>
      <c r="D34" s="154"/>
      <c r="E34" s="154"/>
      <c r="F34" s="154"/>
      <c r="G34" s="154"/>
      <c r="H34" s="154"/>
      <c r="I34" s="154"/>
      <c r="J34" s="15"/>
      <c r="K34" s="15"/>
      <c r="Y34" s="124"/>
      <c r="Z34" s="124"/>
      <c r="AA34" s="48"/>
      <c r="AB34" s="48"/>
      <c r="AC34" s="49"/>
    </row>
    <row r="35" spans="1:29" s="17" customFormat="1" ht="21" hidden="1" customHeight="1">
      <c r="A35" s="4"/>
      <c r="B35" s="13" t="s">
        <v>494</v>
      </c>
      <c r="C35" s="13"/>
      <c r="D35" s="13"/>
      <c r="E35" s="13"/>
      <c r="F35" s="13"/>
      <c r="G35" s="13"/>
      <c r="H35" s="13"/>
      <c r="I35" s="13"/>
      <c r="J35" s="13"/>
      <c r="K35" s="13"/>
      <c r="P35" s="62"/>
      <c r="Y35" s="124">
        <v>56183.08</v>
      </c>
      <c r="Z35" s="124">
        <v>20.37</v>
      </c>
      <c r="AA35" s="48"/>
      <c r="AB35" s="48"/>
      <c r="AC35" s="49">
        <f t="shared" si="4"/>
        <v>0</v>
      </c>
    </row>
    <row r="36" spans="1:29" s="17" customFormat="1" ht="21" hidden="1" customHeight="1">
      <c r="A36" s="4"/>
      <c r="B36" s="13" t="s">
        <v>495</v>
      </c>
      <c r="C36" s="13"/>
      <c r="D36" s="13"/>
      <c r="E36" s="13"/>
      <c r="F36" s="13"/>
      <c r="G36" s="13"/>
      <c r="H36" s="13"/>
      <c r="I36" s="13"/>
      <c r="J36" s="13"/>
      <c r="K36" s="13"/>
      <c r="P36" s="62"/>
      <c r="Y36" s="124"/>
      <c r="Z36" s="124"/>
      <c r="AA36" s="48"/>
      <c r="AB36" s="48"/>
      <c r="AC36" s="49"/>
    </row>
    <row r="37" spans="1:29" s="17" customFormat="1" ht="21" hidden="1" customHeight="1">
      <c r="A37" s="4"/>
      <c r="B37" s="13" t="s">
        <v>496</v>
      </c>
      <c r="C37" s="13"/>
      <c r="D37" s="13"/>
      <c r="E37" s="13"/>
      <c r="F37" s="13"/>
      <c r="G37" s="13"/>
      <c r="H37" s="13"/>
      <c r="I37" s="13"/>
      <c r="J37" s="13"/>
      <c r="K37" s="13"/>
      <c r="P37" s="62"/>
      <c r="Y37" s="124"/>
      <c r="Z37" s="124"/>
      <c r="AA37" s="48"/>
      <c r="AB37" s="48"/>
      <c r="AC37" s="49"/>
    </row>
    <row r="38" spans="1:29" s="17" customFormat="1" ht="15.75" hidden="1" customHeight="1">
      <c r="A38" s="4"/>
      <c r="B38" s="13" t="s">
        <v>497</v>
      </c>
      <c r="C38" s="13"/>
      <c r="D38" s="13"/>
      <c r="E38" s="13"/>
      <c r="F38" s="13"/>
      <c r="G38" s="13"/>
      <c r="H38" s="13"/>
      <c r="I38" s="13"/>
      <c r="J38" s="13"/>
      <c r="K38" s="13"/>
      <c r="P38" s="62"/>
      <c r="Y38" s="124"/>
      <c r="Z38" s="124"/>
      <c r="AA38" s="48"/>
      <c r="AB38" s="48"/>
      <c r="AC38" s="49"/>
    </row>
    <row r="39" spans="1:29" s="17" customFormat="1" ht="15" hidden="1" customHeight="1">
      <c r="A39" s="4"/>
      <c r="B39" s="13" t="s">
        <v>499</v>
      </c>
      <c r="C39" s="13"/>
      <c r="D39" s="13"/>
      <c r="E39" s="13"/>
      <c r="F39" s="13"/>
      <c r="G39" s="13"/>
      <c r="H39" s="13"/>
      <c r="I39" s="13"/>
      <c r="J39" s="13"/>
      <c r="K39" s="13"/>
      <c r="P39" s="62"/>
      <c r="Y39" s="124">
        <v>43711.13</v>
      </c>
      <c r="Z39" s="124">
        <v>979.02</v>
      </c>
      <c r="AA39" s="48"/>
      <c r="AB39" s="48"/>
      <c r="AC39" s="49">
        <f t="shared" si="4"/>
        <v>0</v>
      </c>
    </row>
    <row r="40" spans="1:29" s="17" customFormat="1" ht="14.25" hidden="1" customHeight="1">
      <c r="A40" s="4"/>
      <c r="B40" s="13" t="s">
        <v>498</v>
      </c>
      <c r="C40" s="13"/>
      <c r="D40" s="13"/>
      <c r="E40" s="13"/>
      <c r="F40" s="13"/>
      <c r="G40" s="13"/>
      <c r="H40" s="13"/>
      <c r="I40" s="13"/>
      <c r="J40" s="13"/>
      <c r="K40" s="13"/>
      <c r="P40" s="62"/>
      <c r="Y40" s="3"/>
      <c r="Z40" s="3"/>
      <c r="AA40"/>
      <c r="AB40"/>
      <c r="AC40"/>
    </row>
    <row r="41" spans="1:29" s="17" customFormat="1" ht="18" hidden="1" customHeight="1">
      <c r="A41" s="4"/>
      <c r="C41" s="13"/>
      <c r="D41" s="13"/>
      <c r="E41" s="13"/>
      <c r="F41" s="13"/>
      <c r="G41" s="13"/>
      <c r="H41" s="13"/>
      <c r="I41" s="13"/>
      <c r="J41" s="13"/>
      <c r="K41" s="13"/>
      <c r="P41" s="62"/>
      <c r="Y41" s="28"/>
      <c r="Z41" s="28"/>
      <c r="AA41" s="27"/>
      <c r="AB41" s="27"/>
      <c r="AC41" s="27"/>
    </row>
    <row r="42" spans="1:29" s="17" customFormat="1" ht="12" hidden="1" customHeight="1">
      <c r="A42" s="4"/>
      <c r="C42" s="13"/>
      <c r="D42" s="13"/>
      <c r="E42" s="13"/>
      <c r="F42" s="13"/>
      <c r="G42" s="13"/>
      <c r="H42" s="13"/>
      <c r="I42" s="13"/>
      <c r="J42" s="13"/>
      <c r="K42" s="13"/>
      <c r="P42" s="62"/>
      <c r="Y42" s="28"/>
      <c r="Z42" s="28"/>
      <c r="AA42" s="27"/>
      <c r="AB42" s="27"/>
      <c r="AC42" s="27"/>
    </row>
    <row r="43" spans="1:29" s="17" customFormat="1" ht="15.75" hidden="1">
      <c r="A43" s="4" t="s">
        <v>491</v>
      </c>
      <c r="P43" s="62"/>
      <c r="Y43" s="28"/>
      <c r="Z43" s="28"/>
      <c r="AA43" s="27"/>
      <c r="AB43" s="27"/>
      <c r="AC43" s="27"/>
    </row>
    <row r="44" spans="1:29" s="17" customFormat="1" ht="15.75" hidden="1">
      <c r="A44" s="4" t="s">
        <v>59</v>
      </c>
      <c r="P44" s="62"/>
      <c r="Y44" s="3"/>
      <c r="Z44" s="3"/>
      <c r="AA44"/>
      <c r="AB44"/>
      <c r="AC44"/>
    </row>
    <row r="45" spans="1:29" s="17" customFormat="1" ht="15.75" hidden="1">
      <c r="A45" s="4"/>
      <c r="P45" s="62"/>
      <c r="Y45" s="3"/>
      <c r="Z45" s="3"/>
      <c r="AA45"/>
      <c r="AB45"/>
      <c r="AC45"/>
    </row>
    <row r="46" spans="1:29" hidden="1">
      <c r="A46" s="2" t="s">
        <v>48</v>
      </c>
    </row>
  </sheetData>
  <sheetProtection password="CCF1" sheet="1" objects="1" scenarios="1" formatCells="0" formatColumns="0" formatRows="0" insertColumns="0" insertRows="0" insertHyperlinks="0" deleteColumns="0" deleteRows="0" sort="0" autoFilter="0" pivotTables="0"/>
  <autoFilter ref="A15:W29"/>
  <mergeCells count="26">
    <mergeCell ref="D9:L9"/>
    <mergeCell ref="A1:P1"/>
    <mergeCell ref="A2:P2"/>
    <mergeCell ref="A3:O3"/>
    <mergeCell ref="A4:O4"/>
    <mergeCell ref="D6:M6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J13:J14"/>
    <mergeCell ref="K13:K14"/>
    <mergeCell ref="L13:L14"/>
    <mergeCell ref="M13:M14"/>
    <mergeCell ref="N13:N14"/>
    <mergeCell ref="B33:I33"/>
    <mergeCell ref="G12:G14"/>
    <mergeCell ref="H12:I12"/>
    <mergeCell ref="J12:K12"/>
    <mergeCell ref="L12:N12"/>
    <mergeCell ref="F12:F14"/>
  </mergeCells>
  <pageMargins left="0.78740157480314965" right="0.39370078740157483" top="0.39370078740157483" bottom="0.35433070866141736" header="0.31496062992125984" footer="0.31496062992125984"/>
  <pageSetup paperSize="9" scale="4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7"/>
  <sheetViews>
    <sheetView topLeftCell="A7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2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2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2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2" ht="15.75">
      <c r="A4" s="158" t="s">
        <v>326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2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2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2" ht="15.75">
      <c r="A7" s="1" t="s">
        <v>7</v>
      </c>
      <c r="D7" s="18" t="s">
        <v>51</v>
      </c>
      <c r="E7" s="17"/>
      <c r="F7" s="17"/>
      <c r="G7" s="17"/>
      <c r="H7" s="17"/>
    </row>
    <row r="8" spans="1:22">
      <c r="A8" s="1" t="s">
        <v>8</v>
      </c>
    </row>
    <row r="9" spans="1:22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2" ht="15.75">
      <c r="A10" s="18" t="s">
        <v>61</v>
      </c>
    </row>
    <row r="11" spans="1:22" ht="15.75">
      <c r="A11" s="18" t="s">
        <v>62</v>
      </c>
    </row>
    <row r="12" spans="1:22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2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2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</row>
    <row r="15" spans="1:22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2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3кв. 2021г.'!H16-'УК 3кв. 2021г.'!I16+V16</f>
        <v>317938.00999999995</v>
      </c>
      <c r="I16" s="33">
        <f>183367.96+1436.06</f>
        <v>184804.02</v>
      </c>
      <c r="J16" s="33">
        <f>'УК 3кв. 2021г.'!J16+'УК 4кв. 2021г.'!V16</f>
        <v>4299975.0899999989</v>
      </c>
      <c r="K16" s="33">
        <f>'УК 3кв. 2021г.'!K16+'УК 4кв. 2021г.'!I16</f>
        <v>4247617.79</v>
      </c>
      <c r="L16" s="64"/>
      <c r="M16" s="47"/>
      <c r="N16" s="33">
        <f>'УК 3кв. 2021г.'!N16</f>
        <v>894970.86</v>
      </c>
      <c r="O16" s="33">
        <f>K16-N16</f>
        <v>3352646.93</v>
      </c>
      <c r="P16" s="110">
        <f t="shared" ref="P16:P21" si="0">K16/J16*100</f>
        <v>98.782381318399715</v>
      </c>
      <c r="R16" s="19">
        <f>J16-K16</f>
        <v>52357.299999998882</v>
      </c>
      <c r="S16" s="19">
        <f>H16-I16</f>
        <v>133133.98999999996</v>
      </c>
      <c r="V16" s="15">
        <f>148148.28+2251.82</f>
        <v>150400.1</v>
      </c>
    </row>
    <row r="17" spans="1:22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3кв. 2021г.'!H17-'УК 3кв. 2021г.'!I17+V17</f>
        <v>131100.09000000003</v>
      </c>
      <c r="I17" s="33">
        <f>63560.88+74.62</f>
        <v>63635.5</v>
      </c>
      <c r="J17" s="33">
        <f>'УК 3кв. 2021г.'!J17+'УК 4кв. 2021г.'!V17</f>
        <v>1224669.7400000002</v>
      </c>
      <c r="K17" s="33">
        <f>'УК 3кв. 2021г.'!K17+'УК 4кв. 2021г.'!I17</f>
        <v>1157205.1500000001</v>
      </c>
      <c r="L17" s="32"/>
      <c r="M17" s="32"/>
      <c r="N17" s="33">
        <f>'УК 3кв. 2021г.'!N17</f>
        <v>0</v>
      </c>
      <c r="O17" s="33">
        <f>K17-N17</f>
        <v>1157205.1500000001</v>
      </c>
      <c r="P17" s="110">
        <f t="shared" si="0"/>
        <v>94.491201358498486</v>
      </c>
      <c r="R17" s="19">
        <f>J17-K17</f>
        <v>67464.590000000084</v>
      </c>
      <c r="S17" s="19">
        <f>H17-I17</f>
        <v>67464.590000000026</v>
      </c>
      <c r="V17" s="15">
        <f>67720.32+1429.05</f>
        <v>69149.37000000001</v>
      </c>
    </row>
    <row r="18" spans="1:22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3кв. 2021г.'!H18-'УК 3кв. 2021г.'!I18+V18</f>
        <v>391911.8</v>
      </c>
      <c r="I18" s="33">
        <f>51992.49+181.08-69091.43</f>
        <v>-16917.859999999993</v>
      </c>
      <c r="J18" s="33">
        <f>'УК 3кв. 2021г.'!J18+'УК 4кв. 2021г.'!V18</f>
        <v>1605651.7000000002</v>
      </c>
      <c r="K18" s="33">
        <f>'УК 3кв. 2021г.'!K18+'УК 4кв. 2021г.'!I18</f>
        <v>1196822.0399999998</v>
      </c>
      <c r="L18" s="34"/>
      <c r="M18" s="89"/>
      <c r="N18" s="33">
        <f>'УК 3кв. 2021г.'!N18</f>
        <v>150967</v>
      </c>
      <c r="O18" s="33">
        <f>K18-N18</f>
        <v>1045855.0399999998</v>
      </c>
      <c r="P18" s="110">
        <f t="shared" si="0"/>
        <v>74.538085688197484</v>
      </c>
      <c r="R18" s="19">
        <f>J18-K18</f>
        <v>408829.66000000038</v>
      </c>
      <c r="S18" s="19">
        <f>H18-I18</f>
        <v>408829.66</v>
      </c>
      <c r="V18" s="15">
        <f>55277.73+7123.84</f>
        <v>62401.570000000007</v>
      </c>
    </row>
    <row r="19" spans="1:22" s="15" customFormat="1" ht="48.75" customHeight="1">
      <c r="A19" s="32">
        <v>1</v>
      </c>
      <c r="B19" s="32" t="s">
        <v>28</v>
      </c>
      <c r="C19" s="103" t="s">
        <v>92</v>
      </c>
      <c r="D19" s="32">
        <v>2012</v>
      </c>
      <c r="E19" s="32"/>
      <c r="F19" s="33">
        <v>2729.9</v>
      </c>
      <c r="G19" s="32">
        <v>7.32</v>
      </c>
      <c r="H19" s="33">
        <f>'УК 3кв. 2021г.'!H19-'УК 3кв. 2021г.'!I19+V19</f>
        <v>309854.77999999991</v>
      </c>
      <c r="I19" s="33">
        <f>46916.63+70.54+2118.12</f>
        <v>49105.29</v>
      </c>
      <c r="J19" s="33">
        <f>'УК 3кв. 2021г.'!J19+'УК 4кв. 2021г.'!V19</f>
        <v>1804929.54</v>
      </c>
      <c r="K19" s="33">
        <f>'УК 3кв. 2021г.'!K19+'УК 4кв. 2021г.'!I19</f>
        <v>1544180.05</v>
      </c>
      <c r="L19" s="43"/>
      <c r="M19" s="91"/>
      <c r="N19" s="33">
        <f>'УК 3кв. 2021г.'!N19</f>
        <v>104440.4</v>
      </c>
      <c r="O19" s="33">
        <f t="shared" ref="O19:O22" si="1">K19-N19</f>
        <v>1439739.6500000001</v>
      </c>
      <c r="P19" s="110">
        <f t="shared" si="0"/>
        <v>85.553480940868198</v>
      </c>
      <c r="R19" s="19">
        <f>J19-K19</f>
        <v>260749.49</v>
      </c>
      <c r="S19" s="19">
        <f t="shared" ref="S19:S20" si="2">H19-I19</f>
        <v>260749.4899999999</v>
      </c>
      <c r="U19" s="19"/>
      <c r="V19" s="19">
        <f>59948.61+4623.98</f>
        <v>64572.59</v>
      </c>
    </row>
    <row r="20" spans="1:22" ht="30" customHeight="1">
      <c r="A20" s="32">
        <v>1</v>
      </c>
      <c r="B20" s="32" t="s">
        <v>28</v>
      </c>
      <c r="C20" s="103" t="s">
        <v>152</v>
      </c>
      <c r="D20" s="32">
        <v>2007</v>
      </c>
      <c r="E20" s="32"/>
      <c r="F20" s="33">
        <v>2918.7</v>
      </c>
      <c r="G20" s="32">
        <v>7.32</v>
      </c>
      <c r="H20" s="33">
        <f>'УК 3кв. 2021г.'!H20-'УК 3кв. 2021г.'!I20+V20</f>
        <v>374161.1</v>
      </c>
      <c r="I20" s="33">
        <f>87794.14+10.94</f>
        <v>87805.08</v>
      </c>
      <c r="J20" s="33">
        <f>'УК 3кв. 2021г.'!J20+'УК 4кв. 2021г.'!V20</f>
        <v>2297573.9700000002</v>
      </c>
      <c r="K20" s="33">
        <f>'УК 3кв. 2021г.'!K20+'УК 4кв. 2021г.'!I20</f>
        <v>1631959.7900000003</v>
      </c>
      <c r="L20" s="32"/>
      <c r="M20" s="32"/>
      <c r="N20" s="33">
        <f>'УК 3кв. 2021г.'!N20</f>
        <v>650595</v>
      </c>
      <c r="O20" s="33">
        <f t="shared" si="1"/>
        <v>981364.79000000027</v>
      </c>
      <c r="P20" s="110">
        <f t="shared" si="0"/>
        <v>71.029695292030155</v>
      </c>
      <c r="R20" s="19">
        <f>J20-K20</f>
        <v>665614.17999999993</v>
      </c>
      <c r="S20" s="19">
        <f t="shared" si="2"/>
        <v>286356.01999999996</v>
      </c>
      <c r="V20" s="13">
        <f>64094.67+5676.53</f>
        <v>69771.199999999997</v>
      </c>
    </row>
    <row r="21" spans="1:22" ht="30">
      <c r="A21" s="32">
        <v>1</v>
      </c>
      <c r="B21" s="32" t="s">
        <v>28</v>
      </c>
      <c r="C21" s="103" t="s">
        <v>274</v>
      </c>
      <c r="D21" s="32">
        <v>2018</v>
      </c>
      <c r="E21" s="32"/>
      <c r="F21" s="33">
        <v>4764.6000000000004</v>
      </c>
      <c r="G21" s="32">
        <v>7.32</v>
      </c>
      <c r="H21" s="33">
        <f>'УК 3кв. 2021г.'!H21-'УК 3кв. 2021г.'!I21+V21</f>
        <v>223132.56000000003</v>
      </c>
      <c r="I21" s="33">
        <f>90828.84+348.37</f>
        <v>91177.209999999992</v>
      </c>
      <c r="J21" s="33">
        <f>'УК 3кв. 2021г.'!J21+'УК 4кв. 2021г.'!V21</f>
        <v>527260.13000000012</v>
      </c>
      <c r="K21" s="33">
        <f>'УК 3кв. 2021г.'!K21+'УК 4кв. 2021г.'!I21</f>
        <v>395304.78</v>
      </c>
      <c r="L21" s="32"/>
      <c r="M21" s="32"/>
      <c r="N21" s="33">
        <f>'УК 3кв. 2021г.'!N21</f>
        <v>0</v>
      </c>
      <c r="O21" s="33">
        <f t="shared" si="1"/>
        <v>395304.78</v>
      </c>
      <c r="P21" s="110">
        <f t="shared" si="0"/>
        <v>74.973387424533684</v>
      </c>
      <c r="R21" s="19">
        <f t="shared" ref="R21:R22" si="3">J21-K21</f>
        <v>131955.35000000009</v>
      </c>
      <c r="S21" s="19"/>
      <c r="V21" s="13">
        <f>104630.49+1741.21</f>
        <v>106371.70000000001</v>
      </c>
    </row>
    <row r="22" spans="1:22" ht="30.75" customHeight="1">
      <c r="A22" s="32">
        <v>1</v>
      </c>
      <c r="B22" s="32" t="s">
        <v>28</v>
      </c>
      <c r="C22" s="103" t="s">
        <v>327</v>
      </c>
      <c r="D22" s="32">
        <v>2006</v>
      </c>
      <c r="E22" s="32"/>
      <c r="F22" s="33">
        <v>1201.8</v>
      </c>
      <c r="G22" s="32">
        <v>5.3</v>
      </c>
      <c r="H22" s="33">
        <f>423362.94+35768.62+V22</f>
        <v>465501.1</v>
      </c>
      <c r="I22" s="33">
        <f>283874.74+2700.88</f>
        <v>286575.62</v>
      </c>
      <c r="J22" s="33">
        <f>423362.94+35768.62+'УК 4кв. 2021г.'!V22</f>
        <v>465501.1</v>
      </c>
      <c r="K22" s="33">
        <f>'УК 3кв. 2021г.'!K22+'УК 4кв. 2021г.'!I22</f>
        <v>286575.62</v>
      </c>
      <c r="L22" s="32"/>
      <c r="M22" s="32"/>
      <c r="N22" s="33">
        <f>'УК 3кв. 2021г.'!N22</f>
        <v>0</v>
      </c>
      <c r="O22" s="33">
        <f t="shared" si="1"/>
        <v>286575.62</v>
      </c>
      <c r="P22" s="110">
        <f>K22/J22*100</f>
        <v>61.56282337463864</v>
      </c>
      <c r="R22" s="19">
        <f t="shared" si="3"/>
        <v>178925.47999999998</v>
      </c>
      <c r="S22" s="19"/>
      <c r="V22" s="13">
        <v>6369.54</v>
      </c>
    </row>
    <row r="23" spans="1:22">
      <c r="A23" s="67"/>
      <c r="B23" s="67"/>
      <c r="C23" s="67"/>
      <c r="D23" s="67"/>
      <c r="E23" s="67"/>
      <c r="F23" s="68"/>
      <c r="G23" s="67"/>
      <c r="H23" s="68"/>
      <c r="I23" s="68"/>
      <c r="J23" s="68"/>
      <c r="K23" s="68"/>
      <c r="L23" s="67"/>
      <c r="M23" s="67"/>
      <c r="N23" s="67"/>
      <c r="O23" s="68"/>
      <c r="P23" s="63"/>
    </row>
    <row r="24" spans="1:22" s="17" customFormat="1" ht="15.75">
      <c r="A24" s="4" t="s">
        <v>64</v>
      </c>
      <c r="C24" s="90"/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90" t="s">
        <v>328</v>
      </c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2" s="62" customFormat="1" ht="21.75" customHeight="1">
      <c r="A26" s="111"/>
      <c r="C26" s="15" t="s">
        <v>329</v>
      </c>
      <c r="D26" s="15"/>
      <c r="E26" s="15"/>
      <c r="F26" s="15"/>
      <c r="G26" s="15"/>
      <c r="H26" s="15"/>
      <c r="I26" s="15"/>
      <c r="J26" s="15"/>
      <c r="K26" s="15"/>
    </row>
    <row r="27" spans="1:22" s="17" customFormat="1" ht="15.75" hidden="1">
      <c r="A27" s="4"/>
      <c r="C27" s="13" t="s">
        <v>288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 hidden="1">
      <c r="A28" s="4"/>
      <c r="C28" s="13" t="s">
        <v>289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2" s="17" customFormat="1" ht="15.75" hidden="1">
      <c r="A29" s="4"/>
      <c r="C29" s="13" t="s">
        <v>290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2" s="17" customFormat="1" ht="15.75" hidden="1">
      <c r="A30" s="4"/>
      <c r="C30" s="13" t="s">
        <v>291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2" s="17" customFormat="1" ht="15.75" hidden="1">
      <c r="A31" s="4"/>
      <c r="C31" s="13" t="s">
        <v>292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2" s="17" customFormat="1" ht="15.75">
      <c r="A32" s="4"/>
      <c r="C32" s="13"/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>
      <c r="A33" s="4"/>
      <c r="C33" s="13"/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>
      <c r="A34" s="4" t="s">
        <v>330</v>
      </c>
      <c r="P34" s="62"/>
    </row>
    <row r="35" spans="1:16" s="17" customFormat="1" ht="15.75">
      <c r="A35" s="4" t="s">
        <v>59</v>
      </c>
      <c r="P35" s="62"/>
    </row>
    <row r="36" spans="1:16" s="17" customFormat="1" ht="15.75">
      <c r="A36" s="4"/>
      <c r="P36" s="62"/>
    </row>
    <row r="37" spans="1:16">
      <c r="A37" s="2" t="s">
        <v>48</v>
      </c>
    </row>
  </sheetData>
  <mergeCells count="25"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7"/>
  <sheetViews>
    <sheetView topLeftCell="A7" workbookViewId="0">
      <selection activeCell="H23" sqref="H23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4кв. 2021г.'!A4:O4</f>
        <v xml:space="preserve">по состоянию за 4 квартал 2021 года на 01 января 2022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6.75" customHeight="1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3 кв.2021г.'!H15-'ТСЖ 3 кв.2021г.'!I15+W15+Y15+Z15</f>
        <v>354793.71000000008</v>
      </c>
      <c r="I15" s="33">
        <f>82488.92+779.65+W15+10000+100</f>
        <v>95207.84</v>
      </c>
      <c r="J15" s="33">
        <f>'ТСЖ 3 кв.2021г.'!J15+Y15+Z15+W15</f>
        <v>2233255.9200000004</v>
      </c>
      <c r="K15" s="33">
        <f>'ТСЖ 3 кв.2021г.'!K15+'ТСЖ 4 кв.2021г.'!I15</f>
        <v>1986918.98</v>
      </c>
      <c r="L15" s="43"/>
      <c r="M15" s="66"/>
      <c r="N15" s="33">
        <f>'ТСЖ 3 кв.2021г.'!N15</f>
        <v>426357.21</v>
      </c>
      <c r="O15" s="105">
        <f>K15-V15</f>
        <v>1560561.77</v>
      </c>
      <c r="P15" s="74">
        <v>520817.08</v>
      </c>
      <c r="Q15" s="46">
        <f>K15/J15*100</f>
        <v>88.969605418083901</v>
      </c>
      <c r="S15" s="48">
        <f>J15-K15+W15</f>
        <v>248176.2100000004</v>
      </c>
      <c r="T15" s="48">
        <f>H15-I15</f>
        <v>259585.87000000008</v>
      </c>
      <c r="V15" s="48">
        <v>426357.21</v>
      </c>
      <c r="W15" s="49">
        <v>1839.27</v>
      </c>
      <c r="Y15" s="49">
        <v>75529.77</v>
      </c>
      <c r="Z15" s="49">
        <v>3598.71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3 кв.2021г.'!H16-'ТСЖ 3 кв.2021г.'!I16+W16+Y16+Z16</f>
        <v>99952.09</v>
      </c>
      <c r="I16" s="33">
        <f>37809.76+465.53</f>
        <v>38275.29</v>
      </c>
      <c r="J16" s="33">
        <f>'ТСЖ 3 кв.2021г.'!J16+Y16+Z16+W16</f>
        <v>893788.84000000032</v>
      </c>
      <c r="K16" s="33">
        <f>'ТСЖ 3 кв.2021г.'!K16+'ТСЖ 4 кв.2021г.'!I16</f>
        <v>833073.99000000011</v>
      </c>
      <c r="L16" s="43"/>
      <c r="M16" s="66"/>
      <c r="N16" s="33">
        <f>'ТСЖ 3 кв.2021г.'!N16</f>
        <v>221688.82</v>
      </c>
      <c r="O16" s="105">
        <f t="shared" ref="O16:O22" si="0">K16-V16</f>
        <v>611385.17000000016</v>
      </c>
      <c r="P16" s="78">
        <v>264064.82</v>
      </c>
      <c r="Q16" s="46">
        <f>K16/J16*100</f>
        <v>93.207025274560351</v>
      </c>
      <c r="S16" s="48">
        <f t="shared" ref="S16:S32" si="1">J16-K16+W16</f>
        <v>60714.85000000021</v>
      </c>
      <c r="T16" s="48">
        <f t="shared" ref="T16:T32" si="2">H16-I16</f>
        <v>61676.799999999996</v>
      </c>
      <c r="V16" s="48">
        <v>221688.82</v>
      </c>
      <c r="Y16" s="49">
        <v>30349.919999999998</v>
      </c>
      <c r="Z16" s="49">
        <v>1081.53</v>
      </c>
    </row>
    <row r="17" spans="1:26" s="49" customFormat="1" ht="39.75" customHeight="1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3 кв.2021г.'!H17-'ТСЖ 3 кв.2021г.'!I17+W17+Y17+Z17</f>
        <v>178943.15000000002</v>
      </c>
      <c r="I17" s="61">
        <f>24979.26+74.98</f>
        <v>25054.239999999998</v>
      </c>
      <c r="J17" s="33">
        <f>'ТСЖ 3 кв.2021г.'!J17+Y17+Z17+W17</f>
        <v>916432.93999999948</v>
      </c>
      <c r="K17" s="33">
        <f>'ТСЖ 3 кв.2021г.'!K17+'ТСЖ 4 кв.2021г.'!I17</f>
        <v>764281.07</v>
      </c>
      <c r="L17" s="72"/>
      <c r="M17" s="73"/>
      <c r="N17" s="33">
        <f>'ТСЖ 3 кв.2021г.'!N17</f>
        <v>476040</v>
      </c>
      <c r="O17" s="122">
        <f t="shared" si="0"/>
        <v>288241.06999999995</v>
      </c>
      <c r="P17" s="74">
        <v>253163.82</v>
      </c>
      <c r="Q17" s="65">
        <f>K17/J17*100</f>
        <v>83.397380936569164</v>
      </c>
      <c r="S17" s="48">
        <f t="shared" si="1"/>
        <v>152151.86999999953</v>
      </c>
      <c r="T17" s="48">
        <f t="shared" si="2"/>
        <v>153888.91000000003</v>
      </c>
      <c r="V17" s="48">
        <v>476040</v>
      </c>
      <c r="Y17" s="49">
        <v>30962.07</v>
      </c>
      <c r="Z17" s="49">
        <v>1917.83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3 кв.2021г.'!H18-'ТСЖ 3 кв.2021г.'!I18+W18+Y18+Z18</f>
        <v>310831.78000000003</v>
      </c>
      <c r="I18" s="61">
        <f>57273.61+265.22</f>
        <v>57538.83</v>
      </c>
      <c r="J18" s="33">
        <f>'ТСЖ 3 кв.2021г.'!J18+Y18+Z18+W18</f>
        <v>1402162.7299999995</v>
      </c>
      <c r="K18" s="33">
        <f>'ТСЖ 3 кв.2021г.'!K18+'ТСЖ 4 кв.2021г.'!I18</f>
        <v>1151489.49</v>
      </c>
      <c r="L18" s="72"/>
      <c r="M18" s="73"/>
      <c r="N18" s="33">
        <f>'ТСЖ 3 кв.2021г.'!N18</f>
        <v>731630</v>
      </c>
      <c r="O18" s="121">
        <f t="shared" si="0"/>
        <v>419859.49</v>
      </c>
      <c r="P18" s="44">
        <v>378042.71</v>
      </c>
      <c r="Q18" s="65">
        <f t="shared" ref="Q18:Q30" si="3">K18/J18*100</f>
        <v>82.122386037175616</v>
      </c>
      <c r="S18" s="48">
        <f t="shared" si="1"/>
        <v>250673.23999999953</v>
      </c>
      <c r="T18" s="48">
        <f t="shared" si="2"/>
        <v>253292.95</v>
      </c>
      <c r="V18" s="48">
        <v>731630</v>
      </c>
      <c r="Y18" s="49">
        <v>47437.65</v>
      </c>
      <c r="Z18" s="49">
        <v>3016.02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3 кв.2021г.'!H19-'ТСЖ 3 кв.2021г.'!I19+W19+Y19+Z19</f>
        <v>137513.39000000001</v>
      </c>
      <c r="I19" s="33">
        <f>24218.5+42.13</f>
        <v>24260.63</v>
      </c>
      <c r="J19" s="33">
        <f>'ТСЖ 3 кв.2021г.'!J19+Y19+Z19+W19</f>
        <v>798450.74999999977</v>
      </c>
      <c r="K19" s="33">
        <f>'ТСЖ 3 кв.2021г.'!K19+'ТСЖ 4 кв.2021г.'!I19</f>
        <v>686524.04</v>
      </c>
      <c r="L19" s="43"/>
      <c r="M19" s="66"/>
      <c r="N19" s="33">
        <f>'ТСЖ 3 кв.2021г.'!N19</f>
        <v>230810</v>
      </c>
      <c r="O19" s="121">
        <f t="shared" si="0"/>
        <v>455714.04000000004</v>
      </c>
      <c r="P19" s="44">
        <v>252978.03</v>
      </c>
      <c r="Q19" s="46">
        <f>K19/J19*100</f>
        <v>85.982014545042418</v>
      </c>
      <c r="S19" s="93">
        <f t="shared" si="1"/>
        <v>111926.70999999973</v>
      </c>
      <c r="T19" s="93">
        <f t="shared" si="2"/>
        <v>113252.76000000001</v>
      </c>
      <c r="V19" s="93">
        <v>230810</v>
      </c>
      <c r="Y19" s="92">
        <f>27014.63-5.3</f>
        <v>27009.33</v>
      </c>
      <c r="Z19" s="92">
        <v>1471.99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3 кв.2021г.'!H20-'ТСЖ 3 кв.2021г.'!I20+W20+Y20+Z20</f>
        <v>88136.529999999984</v>
      </c>
      <c r="I20" s="33">
        <f>40394.98+1351.72</f>
        <v>41746.700000000004</v>
      </c>
      <c r="J20" s="33">
        <f>'ТСЖ 3 кв.2021г.'!J20+Y20+Z20+W20</f>
        <v>557482.11999999988</v>
      </c>
      <c r="K20" s="33">
        <f>'ТСЖ 3 кв.2021г.'!K20+'ТСЖ 4 кв.2021г.'!I20</f>
        <v>511835.11000000004</v>
      </c>
      <c r="L20" s="43"/>
      <c r="M20" s="66"/>
      <c r="N20" s="33">
        <f>'ТСЖ 3 кв.2021г.'!N20</f>
        <v>208003.99</v>
      </c>
      <c r="O20" s="121">
        <f t="shared" si="0"/>
        <v>303831.12000000005</v>
      </c>
      <c r="P20" s="74">
        <v>124839.69</v>
      </c>
      <c r="Q20" s="46">
        <f t="shared" si="3"/>
        <v>91.811932910063589</v>
      </c>
      <c r="S20" s="93">
        <f t="shared" si="1"/>
        <v>45647.009999999835</v>
      </c>
      <c r="T20" s="93">
        <f t="shared" si="2"/>
        <v>46389.82999999998</v>
      </c>
      <c r="V20" s="93">
        <v>208003.99</v>
      </c>
      <c r="Y20" s="92">
        <v>18905.099999999999</v>
      </c>
      <c r="Z20" s="92">
        <v>531.54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3 кв.2021г.'!H21-'ТСЖ 3 кв.2021г.'!I21+W21+Y21+Z21</f>
        <v>165122.53</v>
      </c>
      <c r="I21" s="61">
        <f>40327.84+177.66+624.17</f>
        <v>41129.67</v>
      </c>
      <c r="J21" s="33">
        <f>'ТСЖ 3 кв.2021г.'!J21+Y21+Z21+W21</f>
        <v>1131803.3800000001</v>
      </c>
      <c r="K21" s="33">
        <f>'ТСЖ 3 кв.2021г.'!K21+'ТСЖ 4 кв.2021г.'!I21</f>
        <v>1009025.0799999998</v>
      </c>
      <c r="L21" s="72"/>
      <c r="M21" s="61"/>
      <c r="N21" s="33">
        <f>'ТСЖ 3 кв.2021г.'!N21</f>
        <v>0</v>
      </c>
      <c r="O21" s="122">
        <f t="shared" si="0"/>
        <v>1009025.0799999998</v>
      </c>
      <c r="P21" s="44">
        <v>388089.32</v>
      </c>
      <c r="Q21" s="65">
        <f t="shared" si="3"/>
        <v>89.151976202792369</v>
      </c>
      <c r="S21" s="93">
        <f t="shared" si="1"/>
        <v>122778.30000000028</v>
      </c>
      <c r="T21" s="93">
        <f t="shared" si="2"/>
        <v>123992.86</v>
      </c>
      <c r="Y21" s="92">
        <v>38605.53</v>
      </c>
      <c r="Z21" s="92">
        <v>1292.79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3 кв.2021г.'!H22-'ТСЖ 3 кв.2021г.'!I22+W22+Y22+Z22</f>
        <v>84077.900000000023</v>
      </c>
      <c r="I22" s="33">
        <f>27732.49+161.49+762.43</f>
        <v>28656.410000000003</v>
      </c>
      <c r="J22" s="33">
        <f>'ТСЖ 3 кв.2021г.'!J22+Y22+Z22+W22</f>
        <v>973584.84</v>
      </c>
      <c r="K22" s="33">
        <f>'ТСЖ 3 кв.2021г.'!K22+'ТСЖ 4 кв.2021г.'!I22</f>
        <v>919416.56</v>
      </c>
      <c r="L22" s="43"/>
      <c r="M22" s="66"/>
      <c r="N22" s="33">
        <f>'ТСЖ 3 кв.2021г.'!N22</f>
        <v>454457.47</v>
      </c>
      <c r="O22" s="121">
        <f t="shared" si="0"/>
        <v>464959.09000000008</v>
      </c>
      <c r="P22" s="74">
        <v>223464.31</v>
      </c>
      <c r="Q22" s="46">
        <f>K22/J22*100</f>
        <v>94.436203423216824</v>
      </c>
      <c r="S22" s="93">
        <f t="shared" si="1"/>
        <v>54168.279999999912</v>
      </c>
      <c r="T22" s="93">
        <f t="shared" si="2"/>
        <v>55421.49000000002</v>
      </c>
      <c r="V22" s="93">
        <f>N22</f>
        <v>454457.47</v>
      </c>
      <c r="Y22" s="92">
        <v>33038.61</v>
      </c>
      <c r="Z22" s="92">
        <v>923.56</v>
      </c>
    </row>
    <row r="23" spans="1:26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3 кв.2021г.'!H25-'ТСЖ 3 кв.2021г.'!I25+W23+Y23+Z23</f>
        <v>57493.440000000002</v>
      </c>
      <c r="I23" s="33">
        <f>42486.91+341.56</f>
        <v>42828.47</v>
      </c>
      <c r="J23" s="33">
        <f>'ТСЖ 3 кв.2021г.'!J25+Y23+Z23+W23</f>
        <v>977190.19999999984</v>
      </c>
      <c r="K23" s="33">
        <f>'ТСЖ 3 кв.2021г.'!K25+'ТСЖ 4 кв.2021г.'!I23</f>
        <v>963080.49</v>
      </c>
      <c r="L23" s="43"/>
      <c r="M23" s="66"/>
      <c r="N23" s="33">
        <f>'ТСЖ 3 кв.2021г.'!N25+N24+N25</f>
        <v>435700.47000000003</v>
      </c>
      <c r="O23" s="121">
        <f>K23-V23</f>
        <v>527380.02</v>
      </c>
      <c r="P23" s="78">
        <v>243907.98</v>
      </c>
      <c r="Q23" s="46">
        <f t="shared" si="3"/>
        <v>98.556093788087523</v>
      </c>
      <c r="S23" s="93">
        <f t="shared" si="1"/>
        <v>14109.709999999846</v>
      </c>
      <c r="T23" s="93">
        <f t="shared" si="2"/>
        <v>14664.970000000001</v>
      </c>
      <c r="V23" s="93">
        <f t="shared" ref="V23:V32" si="4">N23</f>
        <v>435700.47000000003</v>
      </c>
      <c r="Y23" s="92">
        <v>33175.35</v>
      </c>
      <c r="Z23" s="92">
        <v>213.51</v>
      </c>
    </row>
    <row r="24" spans="1:26" s="92" customFormat="1" ht="47.25" customHeight="1">
      <c r="A24" s="32"/>
      <c r="B24" s="32"/>
      <c r="C24" s="32"/>
      <c r="D24" s="32"/>
      <c r="E24" s="32"/>
      <c r="F24" s="32"/>
      <c r="G24" s="32"/>
      <c r="H24" s="33"/>
      <c r="I24" s="33"/>
      <c r="J24" s="33"/>
      <c r="K24" s="33"/>
      <c r="L24" s="113" t="s">
        <v>331</v>
      </c>
      <c r="M24" s="66" t="s">
        <v>315</v>
      </c>
      <c r="N24" s="33">
        <v>39986.800000000003</v>
      </c>
      <c r="O24" s="105"/>
      <c r="P24" s="74"/>
      <c r="Q24" s="46"/>
      <c r="S24" s="93"/>
      <c r="T24" s="93"/>
      <c r="V24" s="93"/>
    </row>
    <row r="25" spans="1:26" s="92" customFormat="1" ht="47.25" customHeight="1">
      <c r="A25" s="32"/>
      <c r="B25" s="60"/>
      <c r="C25" s="60"/>
      <c r="D25" s="60"/>
      <c r="E25" s="60"/>
      <c r="F25" s="60"/>
      <c r="G25" s="60"/>
      <c r="H25" s="33"/>
      <c r="I25" s="61"/>
      <c r="J25" s="33"/>
      <c r="K25" s="33"/>
      <c r="L25" s="113" t="s">
        <v>332</v>
      </c>
      <c r="M25" s="66" t="s">
        <v>318</v>
      </c>
      <c r="N25" s="33">
        <v>81312</v>
      </c>
      <c r="O25" s="105"/>
      <c r="P25" s="112"/>
      <c r="Q25" s="65"/>
      <c r="S25" s="93"/>
      <c r="T25" s="93"/>
      <c r="V25" s="93"/>
    </row>
    <row r="26" spans="1:26" s="92" customFormat="1" ht="45.75" thickBot="1">
      <c r="A26" s="32">
        <v>1</v>
      </c>
      <c r="B26" s="60" t="s">
        <v>28</v>
      </c>
      <c r="C26" s="60" t="s">
        <v>34</v>
      </c>
      <c r="D26" s="60"/>
      <c r="E26" s="60"/>
      <c r="F26" s="61">
        <v>2823.8</v>
      </c>
      <c r="G26" s="60">
        <v>5.3</v>
      </c>
      <c r="H26" s="33">
        <f>'ТСЖ 3 кв.2021г.'!H27-'ТСЖ 3 кв.2021г.'!I27+W26+Y26+Z26</f>
        <v>219710.83000000005</v>
      </c>
      <c r="I26" s="61">
        <f>48239.55+318.21+W26</f>
        <v>48972.08</v>
      </c>
      <c r="J26" s="33">
        <f>'ТСЖ 3 кв.2021г.'!J27+Y26+Z26+W26</f>
        <v>1325193.08</v>
      </c>
      <c r="K26" s="33">
        <f>'ТСЖ 3 кв.2021г.'!K27+'ТСЖ 4 кв.2021г.'!I26</f>
        <v>1156877.6599999999</v>
      </c>
      <c r="L26" s="72"/>
      <c r="M26" s="61"/>
      <c r="N26" s="33">
        <f>'ТСЖ 3 кв.2021г.'!N27</f>
        <v>124391</v>
      </c>
      <c r="O26" s="121">
        <f t="shared" ref="O26:O28" si="5">K26-V26</f>
        <v>1032486.6599999999</v>
      </c>
      <c r="P26" s="44">
        <v>420551</v>
      </c>
      <c r="Q26" s="65">
        <f t="shared" si="3"/>
        <v>87.298800262373831</v>
      </c>
      <c r="S26" s="93">
        <f t="shared" si="1"/>
        <v>168729.74000000017</v>
      </c>
      <c r="T26" s="93">
        <f t="shared" si="2"/>
        <v>170738.75000000006</v>
      </c>
      <c r="V26" s="93">
        <f t="shared" si="4"/>
        <v>124391</v>
      </c>
      <c r="W26" s="92">
        <v>414.32</v>
      </c>
      <c r="Y26" s="92">
        <v>44908.02</v>
      </c>
      <c r="Z26" s="92">
        <v>2522.84</v>
      </c>
    </row>
    <row r="27" spans="1:26" s="92" customFormat="1" ht="39" customHeight="1" thickBot="1">
      <c r="A27" s="32">
        <v>1</v>
      </c>
      <c r="B27" s="32" t="s">
        <v>37</v>
      </c>
      <c r="C27" s="32" t="s">
        <v>38</v>
      </c>
      <c r="D27" s="32"/>
      <c r="E27" s="32"/>
      <c r="F27" s="33">
        <v>1135</v>
      </c>
      <c r="G27" s="32">
        <v>5.3</v>
      </c>
      <c r="H27" s="33">
        <f>'ТСЖ 3 кв.2021г.'!H28-'ТСЖ 3 кв.2021г.'!I28+W27+Y27+Z27</f>
        <v>60738.880000000019</v>
      </c>
      <c r="I27" s="33">
        <f>59939.3+345.12</f>
        <v>60284.420000000006</v>
      </c>
      <c r="J27" s="33">
        <f>'ТСЖ 3 кв.2021г.'!J28+Y27+Z27+W27</f>
        <v>531187.09000000008</v>
      </c>
      <c r="K27" s="33">
        <f>'ТСЖ 3 кв.2021г.'!K28+'ТСЖ 4 кв.2021г.'!I27</f>
        <v>531126.61</v>
      </c>
      <c r="L27" s="43"/>
      <c r="M27" s="66"/>
      <c r="N27" s="33">
        <f>'ТСЖ 3 кв.2021г.'!N28</f>
        <v>248930</v>
      </c>
      <c r="O27" s="121">
        <f t="shared" si="5"/>
        <v>282196.61</v>
      </c>
      <c r="P27" s="44">
        <v>146097.04999999999</v>
      </c>
      <c r="Q27" s="46">
        <f t="shared" si="3"/>
        <v>99.988614181116461</v>
      </c>
      <c r="S27" s="93">
        <f t="shared" si="1"/>
        <v>60.480000000097789</v>
      </c>
      <c r="T27" s="93">
        <f t="shared" si="2"/>
        <v>454.46000000001368</v>
      </c>
      <c r="U27" s="93"/>
      <c r="V27" s="93">
        <f t="shared" si="4"/>
        <v>248930</v>
      </c>
      <c r="Y27" s="92">
        <v>18046.5</v>
      </c>
      <c r="Z27" s="92">
        <v>396.3</v>
      </c>
    </row>
    <row r="28" spans="1:26" s="92" customFormat="1" ht="51" customHeight="1" thickBot="1">
      <c r="A28" s="32">
        <v>1</v>
      </c>
      <c r="B28" s="32" t="s">
        <v>37</v>
      </c>
      <c r="C28" s="32" t="s">
        <v>40</v>
      </c>
      <c r="D28" s="32"/>
      <c r="E28" s="32"/>
      <c r="F28" s="33">
        <v>2119.3000000000002</v>
      </c>
      <c r="G28" s="32">
        <v>5.3</v>
      </c>
      <c r="H28" s="33">
        <f>'ТСЖ 3 кв.2021г.'!H29-'ТСЖ 3 кв.2021г.'!I29+W28+Y28+Z28</f>
        <v>173303.99</v>
      </c>
      <c r="I28" s="33">
        <f>44552.54+344.99</f>
        <v>44897.53</v>
      </c>
      <c r="J28" s="33">
        <f>'ТСЖ 3 кв.2021г.'!J29+Y28+Z28+W28</f>
        <v>994563.9</v>
      </c>
      <c r="K28" s="33">
        <f>'ТСЖ 3 кв.2021г.'!K29+'ТСЖ 4 кв.2021г.'!I28</f>
        <v>867726.89000000013</v>
      </c>
      <c r="L28" s="43"/>
      <c r="M28" s="33"/>
      <c r="N28" s="33">
        <f>'ТСЖ 3 кв.2021г.'!N29</f>
        <v>532320</v>
      </c>
      <c r="O28" s="121">
        <f t="shared" si="5"/>
        <v>335406.89000000013</v>
      </c>
      <c r="P28" s="44">
        <v>235115.53</v>
      </c>
      <c r="Q28" s="46">
        <f>K28/J28*100</f>
        <v>87.246972265934858</v>
      </c>
      <c r="S28" s="93">
        <f t="shared" si="1"/>
        <v>126837.00999999989</v>
      </c>
      <c r="T28" s="93">
        <f t="shared" si="2"/>
        <v>128406.45999999999</v>
      </c>
      <c r="V28" s="93">
        <f t="shared" si="4"/>
        <v>532320</v>
      </c>
      <c r="Y28" s="92">
        <v>33696.870000000003</v>
      </c>
      <c r="Z28" s="92">
        <v>1961.09</v>
      </c>
    </row>
    <row r="29" spans="1:26" s="92" customFormat="1" ht="51.75" customHeight="1" thickBot="1">
      <c r="A29" s="32">
        <v>1</v>
      </c>
      <c r="B29" s="32" t="s">
        <v>28</v>
      </c>
      <c r="C29" s="32" t="s">
        <v>42</v>
      </c>
      <c r="D29" s="32"/>
      <c r="E29" s="32"/>
      <c r="F29" s="33">
        <v>2094.4</v>
      </c>
      <c r="G29" s="32">
        <v>5.3</v>
      </c>
      <c r="H29" s="33">
        <f>'ТСЖ 3 кв.2021г.'!H31-'ТСЖ 3 кв.2021г.'!I31+W29+Y29+Z29</f>
        <v>180190.78999999998</v>
      </c>
      <c r="I29" s="33">
        <f>53361.1+1035.21+100</f>
        <v>54496.31</v>
      </c>
      <c r="J29" s="33">
        <f>'ТСЖ 3 кв.2021г.'!J31+Y29+Z29+W29</f>
        <v>982971.42000000016</v>
      </c>
      <c r="K29" s="33">
        <f>'ТСЖ 3 кв.2021г.'!K31+'ТСЖ 4 кв.2021г.'!I29</f>
        <v>858707.82000000007</v>
      </c>
      <c r="L29" s="43"/>
      <c r="M29" s="66"/>
      <c r="N29" s="33">
        <f>'ТСЖ 3 кв.2021г.'!N31</f>
        <v>475020</v>
      </c>
      <c r="O29" s="121">
        <f t="shared" ref="O29:O30" si="6">K29-V29</f>
        <v>383687.82000000007</v>
      </c>
      <c r="P29" s="44">
        <v>287247.24</v>
      </c>
      <c r="Q29" s="46">
        <f>K29/J29*100</f>
        <v>87.358371009403299</v>
      </c>
      <c r="S29" s="93">
        <f t="shared" si="1"/>
        <v>124263.60000000009</v>
      </c>
      <c r="T29" s="93">
        <f t="shared" si="2"/>
        <v>125694.47999999998</v>
      </c>
      <c r="V29" s="93">
        <f t="shared" si="4"/>
        <v>475020</v>
      </c>
      <c r="Y29" s="92">
        <v>33302.550000000003</v>
      </c>
      <c r="Z29" s="92">
        <v>1484.68</v>
      </c>
    </row>
    <row r="30" spans="1:26" s="92" customFormat="1" ht="51" customHeight="1" thickBot="1">
      <c r="A30" s="32">
        <v>1</v>
      </c>
      <c r="B30" s="32" t="s">
        <v>28</v>
      </c>
      <c r="C30" s="32" t="s">
        <v>31</v>
      </c>
      <c r="D30" s="32"/>
      <c r="E30" s="32"/>
      <c r="F30" s="33">
        <v>3225.6</v>
      </c>
      <c r="G30" s="32">
        <v>5.3</v>
      </c>
      <c r="H30" s="33">
        <f>'ТСЖ 3 кв.2021г.'!H32-'ТСЖ 3 кв.2021г.'!I32+W30+Y30+Z30</f>
        <v>227411.85000000003</v>
      </c>
      <c r="I30" s="33">
        <f>96189.96+2416.6</f>
        <v>98606.560000000012</v>
      </c>
      <c r="J30" s="33">
        <f>'ТСЖ 3 кв.2021г.'!J32+Y30+Z30+W30</f>
        <v>1513908.9300000002</v>
      </c>
      <c r="K30" s="33">
        <f>'ТСЖ 3 кв.2021г.'!K32+'ТСЖ 4 кв.2021г.'!I30</f>
        <v>1388028.5199999998</v>
      </c>
      <c r="L30" s="43"/>
      <c r="M30" s="33"/>
      <c r="N30" s="33">
        <f>'ТСЖ 3 кв.2021г.'!N32+N31</f>
        <v>774822</v>
      </c>
      <c r="O30" s="121">
        <f t="shared" si="6"/>
        <v>613206.51999999979</v>
      </c>
      <c r="P30" s="44">
        <v>354498.41</v>
      </c>
      <c r="Q30" s="46">
        <f t="shared" si="3"/>
        <v>91.685073817485147</v>
      </c>
      <c r="S30" s="93">
        <f t="shared" si="1"/>
        <v>125880.41000000038</v>
      </c>
      <c r="T30" s="93">
        <f t="shared" si="2"/>
        <v>128805.29000000002</v>
      </c>
      <c r="U30" s="93"/>
      <c r="V30" s="93">
        <f t="shared" si="4"/>
        <v>774822</v>
      </c>
      <c r="Y30" s="92">
        <v>51287.040000000001</v>
      </c>
      <c r="Z30" s="92">
        <v>2023.78</v>
      </c>
    </row>
    <row r="31" spans="1:26" s="15" customFormat="1" ht="43.5" customHeight="1">
      <c r="A31" s="32"/>
      <c r="B31" s="32"/>
      <c r="C31" s="32"/>
      <c r="D31" s="32"/>
      <c r="E31" s="32"/>
      <c r="F31" s="33"/>
      <c r="G31" s="32"/>
      <c r="H31" s="33"/>
      <c r="I31" s="33"/>
      <c r="J31" s="33"/>
      <c r="K31" s="33"/>
      <c r="L31" s="113" t="s">
        <v>334</v>
      </c>
      <c r="M31" s="47" t="s">
        <v>333</v>
      </c>
      <c r="N31" s="33">
        <v>77135.8</v>
      </c>
      <c r="O31" s="105"/>
      <c r="P31" s="102"/>
      <c r="Q31" s="101"/>
      <c r="R31" s="19"/>
      <c r="S31" s="19"/>
    </row>
    <row r="32" spans="1:26" s="49" customFormat="1" ht="45" customHeight="1" thickBot="1">
      <c r="A32" s="32">
        <v>1</v>
      </c>
      <c r="B32" s="32" t="s">
        <v>28</v>
      </c>
      <c r="C32" s="32" t="s">
        <v>33</v>
      </c>
      <c r="D32" s="32"/>
      <c r="E32" s="32"/>
      <c r="F32" s="33">
        <v>2135.5</v>
      </c>
      <c r="G32" s="32">
        <v>5.3</v>
      </c>
      <c r="H32" s="33">
        <f>'ТСЖ 3 кв.2021г.'!H34-'ТСЖ 3 кв.2021г.'!I34+W32+Y32+Z32</f>
        <v>137910.39999999991</v>
      </c>
      <c r="I32" s="33">
        <f>27716.06+185.93</f>
        <v>27901.99</v>
      </c>
      <c r="J32" s="33">
        <f>'ТСЖ 3 кв.2021г.'!J34+Y32+Z32+W32</f>
        <v>1001595.8099999998</v>
      </c>
      <c r="K32" s="33">
        <f>'ТСЖ 3 кв.2021г.'!K34+'ТСЖ 4 кв.2021г.'!I32</f>
        <v>893111.10000000009</v>
      </c>
      <c r="L32" s="43"/>
      <c r="M32" s="66"/>
      <c r="N32" s="33">
        <f>'ТСЖ 3 кв.2021г.'!N34</f>
        <v>721587</v>
      </c>
      <c r="O32" s="121">
        <f>K32-V32</f>
        <v>171524.10000000009</v>
      </c>
      <c r="P32" s="44">
        <v>309141.18</v>
      </c>
      <c r="Q32" s="46">
        <f>K32/J32*100</f>
        <v>89.168813515703533</v>
      </c>
      <c r="S32" s="48">
        <f t="shared" si="1"/>
        <v>108484.70999999973</v>
      </c>
      <c r="T32" s="48">
        <f t="shared" si="2"/>
        <v>110008.4099999999</v>
      </c>
      <c r="V32" s="93">
        <f t="shared" si="4"/>
        <v>721587</v>
      </c>
      <c r="Y32" s="49">
        <f>34020.38-65.93</f>
        <v>33954.449999999997</v>
      </c>
      <c r="Z32" s="49">
        <v>1328.3</v>
      </c>
    </row>
    <row r="33" spans="1:26" ht="12.75" customHeight="1">
      <c r="A33" s="2"/>
      <c r="Y33" s="100">
        <f>SUM(Y15:Y32)</f>
        <v>550208.75999999989</v>
      </c>
      <c r="Z33" s="100">
        <f>SUM(Z15:Z32)</f>
        <v>23764.469999999998</v>
      </c>
    </row>
    <row r="34" spans="1:26" ht="15.75">
      <c r="A34" s="4" t="s">
        <v>76</v>
      </c>
      <c r="C34" s="17"/>
      <c r="D34" s="17"/>
      <c r="E34" s="17"/>
      <c r="F34" s="17"/>
      <c r="G34" s="17"/>
      <c r="H34" s="17"/>
      <c r="I34" s="26"/>
    </row>
    <row r="35" spans="1:26" ht="18.75" customHeight="1">
      <c r="A35" s="2"/>
      <c r="B35" s="107" t="s">
        <v>164</v>
      </c>
      <c r="C35" s="202" t="s">
        <v>335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Y35" s="100"/>
    </row>
    <row r="36" spans="1:26" hidden="1">
      <c r="A36" s="2"/>
      <c r="B36" s="108" t="s">
        <v>165</v>
      </c>
      <c r="C36" s="202" t="s">
        <v>303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26" hidden="1">
      <c r="A37" s="2"/>
      <c r="B37" s="108" t="s">
        <v>166</v>
      </c>
      <c r="C37" s="202" t="s">
        <v>336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26" ht="15.75" hidden="1" customHeight="1">
      <c r="A38" s="2"/>
      <c r="B38" s="108" t="s">
        <v>167</v>
      </c>
      <c r="C38" s="202" t="s">
        <v>337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26" ht="15.75" hidden="1" customHeight="1">
      <c r="A39" s="2"/>
      <c r="B39" s="108" t="s">
        <v>168</v>
      </c>
      <c r="C39" s="202" t="s">
        <v>338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26" hidden="1">
      <c r="A40" s="2"/>
      <c r="B40" s="108" t="s">
        <v>165</v>
      </c>
      <c r="C40" s="202" t="s">
        <v>339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26" hidden="1">
      <c r="A41" s="2"/>
      <c r="B41" s="108" t="s">
        <v>166</v>
      </c>
      <c r="C41" s="202" t="s">
        <v>340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6" ht="15.75" hidden="1" customHeight="1">
      <c r="A42" s="2"/>
      <c r="B42" s="108" t="s">
        <v>167</v>
      </c>
      <c r="C42" s="202" t="s">
        <v>341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26" ht="15.75" hidden="1" customHeight="1">
      <c r="A43" s="2"/>
      <c r="B43" s="108" t="s">
        <v>168</v>
      </c>
      <c r="C43" s="202" t="s">
        <v>342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26" ht="15" hidden="1" customHeight="1">
      <c r="A44" s="2"/>
      <c r="B44" s="108" t="s">
        <v>171</v>
      </c>
      <c r="C44" s="202" t="s">
        <v>343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</row>
    <row r="45" spans="1:26" ht="15.75" hidden="1" customHeight="1">
      <c r="A45" s="2"/>
      <c r="B45" s="108" t="s">
        <v>176</v>
      </c>
      <c r="C45" s="202" t="s">
        <v>344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</row>
    <row r="46" spans="1:26" ht="15.75" hidden="1" customHeight="1">
      <c r="A46" s="2"/>
      <c r="B46" s="108" t="s">
        <v>177</v>
      </c>
      <c r="C46" s="202" t="s">
        <v>345</v>
      </c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</row>
    <row r="47" spans="1:26" ht="15.75">
      <c r="A47" s="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26" s="27" customFormat="1" ht="15.75">
      <c r="A48" s="4" t="str">
        <f>'УК 4кв. 2021г.'!A34</f>
        <v>06 января 2022 г.</v>
      </c>
      <c r="I48" s="28"/>
    </row>
    <row r="49" spans="1:11" s="27" customFormat="1" ht="15.75">
      <c r="A49" s="4"/>
      <c r="I49" s="28"/>
    </row>
    <row r="50" spans="1:11" s="27" customFormat="1" ht="15.75">
      <c r="A50" s="4"/>
      <c r="I50" s="28"/>
    </row>
    <row r="51" spans="1:11" s="27" customFormat="1" ht="15.75">
      <c r="A51" s="4" t="s">
        <v>47</v>
      </c>
      <c r="I51" s="28"/>
    </row>
    <row r="52" spans="1:11" s="27" customFormat="1" ht="15.75" hidden="1">
      <c r="A52" s="30" t="s">
        <v>48</v>
      </c>
      <c r="I52" s="28"/>
    </row>
    <row r="53" spans="1:11">
      <c r="A53" s="1"/>
    </row>
    <row r="54" spans="1:11">
      <c r="A54" s="1"/>
      <c r="K54" s="3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  <row r="65" spans="1:1">
      <c r="A65" s="1"/>
    </row>
    <row r="66" spans="1:1">
      <c r="A66" s="1"/>
    </row>
    <row r="67" spans="1:1">
      <c r="A67" s="1"/>
    </row>
  </sheetData>
  <mergeCells count="36">
    <mergeCell ref="C35:O35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  <mergeCell ref="F11:F13"/>
    <mergeCell ref="G11:G13"/>
    <mergeCell ref="H11:I11"/>
    <mergeCell ref="J11:K11"/>
    <mergeCell ref="L11:N1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36:O36"/>
    <mergeCell ref="C37:O37"/>
    <mergeCell ref="C38:O38"/>
    <mergeCell ref="C39:O39"/>
    <mergeCell ref="C46:O46"/>
    <mergeCell ref="C41:O41"/>
    <mergeCell ref="C42:O42"/>
    <mergeCell ref="C43:O43"/>
    <mergeCell ref="C44:O44"/>
    <mergeCell ref="C45:O45"/>
    <mergeCell ref="C40:O40"/>
  </mergeCells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topLeftCell="A7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2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2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2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2" ht="15.75">
      <c r="A4" s="158" t="s">
        <v>314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2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2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2" ht="15.75">
      <c r="A7" s="1" t="s">
        <v>7</v>
      </c>
      <c r="D7" s="18" t="s">
        <v>51</v>
      </c>
      <c r="E7" s="17"/>
      <c r="F7" s="17"/>
      <c r="G7" s="17"/>
      <c r="H7" s="17"/>
    </row>
    <row r="8" spans="1:22">
      <c r="A8" s="1" t="s">
        <v>8</v>
      </c>
    </row>
    <row r="9" spans="1:22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2" ht="15.75">
      <c r="A10" s="18" t="s">
        <v>61</v>
      </c>
    </row>
    <row r="11" spans="1:22" ht="15.75">
      <c r="A11" s="18" t="s">
        <v>62</v>
      </c>
    </row>
    <row r="12" spans="1:22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2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2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</row>
    <row r="15" spans="1:22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2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2кв. 2021г.'!H16-'УК 2кв. 2021г.'!I16+V16</f>
        <v>350974.12999999995</v>
      </c>
      <c r="I16" s="33">
        <v>183436.22</v>
      </c>
      <c r="J16" s="33">
        <f>'УК 2кв. 2021г.'!J16+'УК 3кв. 2021г.'!V16</f>
        <v>4149574.9899999993</v>
      </c>
      <c r="K16" s="33">
        <f>'УК 2кв. 2021г.'!K16+'УК 3кв. 2021г.'!I16</f>
        <v>4062813.77</v>
      </c>
      <c r="L16" s="64"/>
      <c r="M16" s="47"/>
      <c r="N16" s="33">
        <f>'УК 2кв. 2021г.'!N16</f>
        <v>894970.86</v>
      </c>
      <c r="O16" s="109">
        <f>K16-N16</f>
        <v>3167842.91</v>
      </c>
      <c r="P16" s="104">
        <f t="shared" ref="P16:P21" si="0">K16/J16*100</f>
        <v>97.909154064956439</v>
      </c>
      <c r="R16" s="19">
        <f>J16-K16</f>
        <v>86761.219999999274</v>
      </c>
      <c r="S16" s="19">
        <f>H16-I16</f>
        <v>167537.90999999995</v>
      </c>
      <c r="V16" s="15">
        <f>148121.78+2545.33</f>
        <v>150667.10999999999</v>
      </c>
    </row>
    <row r="17" spans="1:22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2кв. 2021г.'!H17-'УК 2кв. 2021г.'!I17+V17</f>
        <v>124304.36000000002</v>
      </c>
      <c r="I17" s="33">
        <v>62353.64</v>
      </c>
      <c r="J17" s="33">
        <f>'УК 2кв. 2021г.'!J17+'УК 3кв. 2021г.'!V17</f>
        <v>1155520.3700000001</v>
      </c>
      <c r="K17" s="33">
        <f>'УК 2кв. 2021г.'!K17+'УК 3кв. 2021г.'!I17</f>
        <v>1093569.6500000001</v>
      </c>
      <c r="L17" s="32"/>
      <c r="M17" s="32"/>
      <c r="N17" s="33">
        <f>'УК 2кв. 2021г.'!N17</f>
        <v>0</v>
      </c>
      <c r="O17" s="109">
        <f>K17-N17</f>
        <v>1093569.6500000001</v>
      </c>
      <c r="P17" s="102">
        <f t="shared" si="0"/>
        <v>94.638716754080249</v>
      </c>
      <c r="R17" s="19">
        <f>J17-K17</f>
        <v>61950.719999999972</v>
      </c>
      <c r="S17" s="19">
        <f>H17-I17</f>
        <v>61950.720000000016</v>
      </c>
      <c r="V17" s="15">
        <f>67720.32+1051.25</f>
        <v>68771.570000000007</v>
      </c>
    </row>
    <row r="18" spans="1:22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2кв. 2021г.'!H18-'УК 2кв. 2021г.'!I18+V18</f>
        <v>367946.64</v>
      </c>
      <c r="I18" s="33">
        <f>43436.41-5000</f>
        <v>38436.410000000003</v>
      </c>
      <c r="J18" s="33">
        <f>'УК 2кв. 2021г.'!J18+'УК 3кв. 2021г.'!V18</f>
        <v>1543250.1300000001</v>
      </c>
      <c r="K18" s="33">
        <f>'УК 2кв. 2021г.'!K18+'УК 3кв. 2021г.'!I18</f>
        <v>1213739.8999999999</v>
      </c>
      <c r="L18" s="34"/>
      <c r="M18" s="89"/>
      <c r="N18" s="33">
        <f>'УК 2кв. 2021г.'!N18</f>
        <v>150967</v>
      </c>
      <c r="O18" s="33">
        <f>K18-N18</f>
        <v>1062772.8999999999</v>
      </c>
      <c r="P18" s="102">
        <f t="shared" si="0"/>
        <v>78.648294039022687</v>
      </c>
      <c r="R18" s="19">
        <f>J18-K18</f>
        <v>329510.23000000021</v>
      </c>
      <c r="S18" s="19">
        <f>H18-I18</f>
        <v>329510.23</v>
      </c>
      <c r="V18" s="15">
        <f>55277.73+6199.87</f>
        <v>61477.600000000006</v>
      </c>
    </row>
    <row r="19" spans="1:22" s="15" customFormat="1" ht="48.75" customHeight="1">
      <c r="A19" s="32">
        <v>1</v>
      </c>
      <c r="B19" s="32" t="s">
        <v>28</v>
      </c>
      <c r="C19" s="103" t="s">
        <v>92</v>
      </c>
      <c r="D19" s="32">
        <v>2012</v>
      </c>
      <c r="E19" s="32"/>
      <c r="F19" s="33">
        <v>2729.9</v>
      </c>
      <c r="G19" s="32">
        <v>7.32</v>
      </c>
      <c r="H19" s="33">
        <f>'УК 2кв. 2021г.'!H19-'УК 2кв. 2021г.'!I19+V19</f>
        <v>288426.61999999994</v>
      </c>
      <c r="I19" s="33">
        <v>43144.43</v>
      </c>
      <c r="J19" s="33">
        <f>'УК 2кв. 2021г.'!J19+'УК 3кв. 2021г.'!V19</f>
        <v>1740356.95</v>
      </c>
      <c r="K19" s="33">
        <f>'УК 2кв. 2021г.'!K19+'УК 3кв. 2021г.'!I19</f>
        <v>1495074.76</v>
      </c>
      <c r="L19" s="43"/>
      <c r="M19" s="91"/>
      <c r="N19" s="33">
        <f>'УК 2кв. 2021г.'!N19</f>
        <v>104440.4</v>
      </c>
      <c r="O19" s="33">
        <f t="shared" ref="O19:O21" si="1">K19-N19</f>
        <v>1390634.36</v>
      </c>
      <c r="P19" s="102">
        <f t="shared" si="0"/>
        <v>85.906213664961101</v>
      </c>
      <c r="R19" s="19">
        <f>J19-K19</f>
        <v>245282.18999999994</v>
      </c>
      <c r="S19" s="19">
        <f t="shared" ref="S19:S20" si="2">H19-I19</f>
        <v>245282.18999999994</v>
      </c>
      <c r="U19" s="19"/>
      <c r="V19" s="19">
        <f>59948.61+3653.21</f>
        <v>63601.82</v>
      </c>
    </row>
    <row r="20" spans="1:22" ht="30" customHeight="1">
      <c r="A20" s="32">
        <v>1</v>
      </c>
      <c r="B20" s="32" t="s">
        <v>28</v>
      </c>
      <c r="C20" s="103" t="s">
        <v>152</v>
      </c>
      <c r="D20" s="32">
        <v>2007</v>
      </c>
      <c r="E20" s="32"/>
      <c r="F20" s="33">
        <v>2918.7</v>
      </c>
      <c r="G20" s="32">
        <v>7.32</v>
      </c>
      <c r="H20" s="33">
        <f>'УК 2кв. 2021г.'!H20-'УК 2кв. 2021г.'!I20+V20</f>
        <v>365763.85</v>
      </c>
      <c r="I20" s="33">
        <v>61373.95</v>
      </c>
      <c r="J20" s="33">
        <f>'УК 2кв. 2021г.'!J20+'УК 3кв. 2021г.'!V20</f>
        <v>2227802.77</v>
      </c>
      <c r="K20" s="33">
        <f>'УК 2кв. 2021г.'!K20+'УК 3кв. 2021г.'!I20</f>
        <v>1544154.7100000002</v>
      </c>
      <c r="L20" s="32"/>
      <c r="M20" s="32"/>
      <c r="N20" s="33">
        <f>'УК 2кв. 2021г.'!N20</f>
        <v>650595</v>
      </c>
      <c r="O20" s="33">
        <f t="shared" si="1"/>
        <v>893559.7100000002</v>
      </c>
      <c r="P20" s="102">
        <f t="shared" si="0"/>
        <v>69.312900172038127</v>
      </c>
      <c r="R20" s="19">
        <f>J20-K20</f>
        <v>683648.05999999982</v>
      </c>
      <c r="S20" s="19">
        <f t="shared" si="2"/>
        <v>304389.89999999997</v>
      </c>
      <c r="V20" s="13">
        <f>64094.67+5019.74</f>
        <v>69114.41</v>
      </c>
    </row>
    <row r="21" spans="1:22" ht="30">
      <c r="A21" s="32">
        <v>1</v>
      </c>
      <c r="B21" s="32" t="s">
        <v>28</v>
      </c>
      <c r="C21" s="103" t="s">
        <v>274</v>
      </c>
      <c r="D21" s="32">
        <v>2018</v>
      </c>
      <c r="E21" s="32"/>
      <c r="F21" s="33">
        <v>4764.6000000000004</v>
      </c>
      <c r="G21" s="32">
        <v>7.32</v>
      </c>
      <c r="H21" s="33">
        <f>'УК 2кв. 2021г.'!H22-'УК 2кв. 2021г.'!I22+V21</f>
        <v>210408.74000000002</v>
      </c>
      <c r="I21" s="33">
        <f>97935.77-1670.16-2617.73</f>
        <v>93647.88</v>
      </c>
      <c r="J21" s="33">
        <f>'УК 2кв. 2021г.'!J22+'УК 3кв. 2021г.'!V21</f>
        <v>420888.43000000005</v>
      </c>
      <c r="K21" s="33">
        <f>'УК 2кв. 2021г.'!K22+'УК 3кв. 2021г.'!I21</f>
        <v>304127.57</v>
      </c>
      <c r="L21" s="32"/>
      <c r="M21" s="32"/>
      <c r="N21" s="33">
        <f>'УК 2кв. 2021г.'!N22</f>
        <v>0</v>
      </c>
      <c r="O21" s="33">
        <f t="shared" si="1"/>
        <v>304127.57</v>
      </c>
      <c r="P21" s="102">
        <f t="shared" si="0"/>
        <v>72.258477145594142</v>
      </c>
      <c r="R21" s="19"/>
      <c r="S21" s="19"/>
      <c r="V21" s="13">
        <f>104630.49+1181.52</f>
        <v>105812.01000000001</v>
      </c>
    </row>
    <row r="22" spans="1:22">
      <c r="A22" s="67"/>
      <c r="B22" s="67"/>
      <c r="C22" s="67"/>
      <c r="D22" s="67"/>
      <c r="E22" s="67"/>
      <c r="F22" s="68"/>
      <c r="G22" s="67"/>
      <c r="H22" s="68"/>
      <c r="I22" s="68"/>
      <c r="J22" s="68"/>
      <c r="K22" s="68"/>
      <c r="L22" s="67"/>
      <c r="M22" s="67"/>
      <c r="N22" s="67"/>
      <c r="O22" s="68"/>
      <c r="P22" s="63"/>
    </row>
    <row r="23" spans="1:22" s="17" customFormat="1" ht="15.75">
      <c r="A23" s="4" t="s">
        <v>64</v>
      </c>
      <c r="C23" s="90"/>
      <c r="D23" s="90"/>
      <c r="E23" s="90"/>
      <c r="F23" s="90"/>
      <c r="G23" s="90"/>
      <c r="H23" s="90"/>
      <c r="I23" s="90"/>
      <c r="J23" s="90"/>
      <c r="K23" s="90"/>
      <c r="L23" s="4"/>
      <c r="P23" s="62"/>
    </row>
    <row r="24" spans="1:22" s="17" customFormat="1" ht="15.75">
      <c r="A24" s="4"/>
      <c r="C24" s="90" t="s">
        <v>312</v>
      </c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13" t="s">
        <v>313</v>
      </c>
      <c r="D25" s="13"/>
      <c r="E25" s="13"/>
      <c r="F25" s="13"/>
      <c r="G25" s="13"/>
      <c r="H25" s="13"/>
      <c r="I25" s="13"/>
      <c r="J25" s="13"/>
      <c r="K25" s="13"/>
      <c r="P25" s="62"/>
    </row>
    <row r="26" spans="1:22" s="17" customFormat="1" ht="15.75">
      <c r="A26" s="4"/>
      <c r="C26" s="13" t="s">
        <v>288</v>
      </c>
      <c r="D26" s="13"/>
      <c r="E26" s="13"/>
      <c r="F26" s="13"/>
      <c r="G26" s="13"/>
      <c r="H26" s="13"/>
      <c r="I26" s="13"/>
      <c r="J26" s="13"/>
      <c r="K26" s="13"/>
      <c r="P26" s="62"/>
    </row>
    <row r="27" spans="1:22" s="17" customFormat="1" ht="15.75">
      <c r="A27" s="4"/>
      <c r="C27" s="13" t="s">
        <v>289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/>
      <c r="C28" s="13" t="s">
        <v>290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2" s="17" customFormat="1" ht="15.75">
      <c r="A29" s="4"/>
      <c r="C29" s="13" t="s">
        <v>291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2" s="17" customFormat="1" ht="15.75">
      <c r="A30" s="4"/>
      <c r="C30" s="13" t="s">
        <v>292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2" s="17" customFormat="1" ht="15.75">
      <c r="A31" s="4"/>
      <c r="C31" s="13"/>
      <c r="D31" s="13"/>
      <c r="E31" s="13"/>
      <c r="F31" s="13"/>
      <c r="G31" s="13"/>
      <c r="H31" s="13"/>
      <c r="I31" s="13"/>
      <c r="J31" s="13"/>
      <c r="K31" s="13"/>
      <c r="P31" s="62"/>
    </row>
    <row r="32" spans="1:22" s="17" customFormat="1" ht="15.75">
      <c r="A32" s="4"/>
      <c r="C32" s="13"/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>
      <c r="A33" s="4" t="s">
        <v>311</v>
      </c>
      <c r="P33" s="62"/>
    </row>
    <row r="34" spans="1:16" s="17" customFormat="1" ht="15.75">
      <c r="A34" s="4" t="s">
        <v>59</v>
      </c>
      <c r="P34" s="62"/>
    </row>
    <row r="35" spans="1:16" s="17" customFormat="1" ht="15.75">
      <c r="A35" s="4"/>
      <c r="P35" s="62"/>
    </row>
    <row r="36" spans="1:16">
      <c r="A36" s="2" t="s">
        <v>48</v>
      </c>
    </row>
  </sheetData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2"/>
  <sheetViews>
    <sheetView topLeftCell="A10" workbookViewId="0">
      <selection activeCell="H23" sqref="H23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3кв. 2021г.'!A4:O4</f>
        <v xml:space="preserve">по состоянию за 3 квартал 2021 года на 01 октября 2021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2 кв.2021г. '!H15-'ТСЖ 2 кв.2021г. '!I15+W15+Y15+Z15</f>
        <v>376338.88</v>
      </c>
      <c r="I15" s="33">
        <f>103070.76-557.84</f>
        <v>102512.92</v>
      </c>
      <c r="J15" s="33">
        <f>'ТСЖ 2 кв.2021г. '!J15+Y15+Z15+W15</f>
        <v>2152288.1700000004</v>
      </c>
      <c r="K15" s="33">
        <f>'ТСЖ 2 кв.2021г. '!K15+'ТСЖ 3 кв.2021г.'!I15</f>
        <v>1891711.14</v>
      </c>
      <c r="L15" s="43"/>
      <c r="M15" s="66"/>
      <c r="N15" s="33">
        <f>'ТСЖ 2 кв.2021г. '!N15</f>
        <v>426357.21</v>
      </c>
      <c r="O15" s="105">
        <f>K15-V15</f>
        <v>1465353.93</v>
      </c>
      <c r="P15" s="74">
        <v>520817.08</v>
      </c>
      <c r="Q15" s="46">
        <f>K15/J15*100</f>
        <v>87.893023172635822</v>
      </c>
      <c r="S15" s="48">
        <f>J15-K15+W15</f>
        <v>262324.13000000047</v>
      </c>
      <c r="T15" s="48">
        <f>H15-I15</f>
        <v>273825.96000000002</v>
      </c>
      <c r="V15" s="48">
        <v>426357.21</v>
      </c>
      <c r="W15" s="49">
        <v>1747.1</v>
      </c>
      <c r="Y15" s="49">
        <v>75529.77</v>
      </c>
      <c r="Z15" s="49">
        <v>2782.97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2 кв.2021г. '!H16-'ТСЖ 2 кв.2021г. '!I16+W16+Y16+Z16</f>
        <v>97066.81</v>
      </c>
      <c r="I16" s="33">
        <v>28546.17</v>
      </c>
      <c r="J16" s="33">
        <f>'ТСЖ 2 кв.2021г. '!J16+Y16+Z16</f>
        <v>862357.39000000025</v>
      </c>
      <c r="K16" s="33">
        <f>'ТСЖ 2 кв.2021г. '!K16+'ТСЖ 3 кв.2021г.'!I16</f>
        <v>794798.70000000007</v>
      </c>
      <c r="L16" s="43"/>
      <c r="M16" s="66"/>
      <c r="N16" s="33">
        <f>'ТСЖ 2 кв.2021г. '!N16</f>
        <v>221688.82</v>
      </c>
      <c r="O16" s="105">
        <f t="shared" ref="O16:O18" si="0">K16-V16</f>
        <v>573109.88000000012</v>
      </c>
      <c r="P16" s="78">
        <v>264064.82</v>
      </c>
      <c r="Q16" s="46">
        <f>K16/J16*100</f>
        <v>92.165813062725633</v>
      </c>
      <c r="S16" s="48">
        <f t="shared" ref="S16:S34" si="1">J16-K16+W16</f>
        <v>67558.690000000177</v>
      </c>
      <c r="T16" s="48">
        <f t="shared" ref="T16:T34" si="2">H16-I16</f>
        <v>68520.639999999999</v>
      </c>
      <c r="V16" s="48">
        <v>221688.82</v>
      </c>
      <c r="Y16" s="49">
        <v>30349.919999999998</v>
      </c>
      <c r="Z16" s="49">
        <v>943</v>
      </c>
    </row>
    <row r="17" spans="1:26" s="49" customFormat="1" ht="39.75" customHeight="1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2 кв.2021г. '!H17-'ТСЖ 2 кв.2021г. '!I17+W17+Y17+Z17</f>
        <v>165915.78000000003</v>
      </c>
      <c r="I17" s="61">
        <f>20216.64-364.11</f>
        <v>19852.53</v>
      </c>
      <c r="J17" s="33">
        <f>'ТСЖ 2 кв.2021г. '!J17+Y17+Z17</f>
        <v>883553.03999999957</v>
      </c>
      <c r="K17" s="33">
        <f>'ТСЖ 2 кв.2021г. '!K17+'ТСЖ 3 кв.2021г.'!I17</f>
        <v>739226.83</v>
      </c>
      <c r="L17" s="72"/>
      <c r="M17" s="73"/>
      <c r="N17" s="33">
        <f>'ТСЖ 2 кв.2021г. '!N17</f>
        <v>476040</v>
      </c>
      <c r="O17" s="106">
        <f t="shared" si="0"/>
        <v>263186.82999999996</v>
      </c>
      <c r="P17" s="74">
        <v>253163.82</v>
      </c>
      <c r="Q17" s="65">
        <f>K17/J17*100</f>
        <v>83.665246627412472</v>
      </c>
      <c r="S17" s="48">
        <f t="shared" si="1"/>
        <v>144326.20999999961</v>
      </c>
      <c r="T17" s="48">
        <f t="shared" si="2"/>
        <v>146063.25000000003</v>
      </c>
      <c r="V17" s="48">
        <v>476040</v>
      </c>
      <c r="Y17" s="49">
        <v>30962.07</v>
      </c>
      <c r="Z17" s="49">
        <v>1425.08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2 кв.2021г. '!H18-'ТСЖ 2 кв.2021г. '!I18+W18+Y18+Z18</f>
        <v>288152.08</v>
      </c>
      <c r="I18" s="61">
        <v>27773.97</v>
      </c>
      <c r="J18" s="33">
        <f>'ТСЖ 2 кв.2021г. '!J18+Y18+Z18</f>
        <v>1351709.0599999996</v>
      </c>
      <c r="K18" s="33">
        <f>'ТСЖ 2 кв.2021г. '!K18+'ТСЖ 3 кв.2021г.'!I18</f>
        <v>1093950.6599999999</v>
      </c>
      <c r="L18" s="72"/>
      <c r="M18" s="73"/>
      <c r="N18" s="33">
        <f>'ТСЖ 2 кв.2021г. '!N18</f>
        <v>731630</v>
      </c>
      <c r="O18" s="105">
        <f t="shared" si="0"/>
        <v>362320.65999999992</v>
      </c>
      <c r="P18" s="44">
        <v>378042.71</v>
      </c>
      <c r="Q18" s="65">
        <f t="shared" ref="Q18:Q32" si="3">K18/J18*100</f>
        <v>80.930926067773797</v>
      </c>
      <c r="S18" s="48">
        <f t="shared" si="1"/>
        <v>257758.39999999967</v>
      </c>
      <c r="T18" s="48">
        <f t="shared" si="2"/>
        <v>260378.11000000002</v>
      </c>
      <c r="V18" s="48">
        <v>731630</v>
      </c>
      <c r="Y18" s="49">
        <v>47437.65</v>
      </c>
      <c r="Z18" s="49">
        <v>2431.6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2 кв.2021г. '!H19-'ТСЖ 2 кв.2021г. '!I19+W19+Y19+Z19</f>
        <v>126394.93000000001</v>
      </c>
      <c r="I19" s="33">
        <v>17362.86</v>
      </c>
      <c r="J19" s="33">
        <f>'ТСЖ 2 кв.2021г. '!J19+Y19+Z19</f>
        <v>769969.42999999982</v>
      </c>
      <c r="K19" s="33">
        <f>'ТСЖ 2 кв.2021г. '!K19+'ТСЖ 3 кв.2021г.'!I19</f>
        <v>662263.41</v>
      </c>
      <c r="L19" s="43"/>
      <c r="M19" s="66"/>
      <c r="N19" s="33">
        <f>'ТСЖ 2 кв.2021г. '!N19</f>
        <v>230810</v>
      </c>
      <c r="O19" s="105">
        <f>K19-N19</f>
        <v>431453.41000000003</v>
      </c>
      <c r="P19" s="44">
        <v>252978.03</v>
      </c>
      <c r="Q19" s="46">
        <f>K19/J19*100</f>
        <v>86.011649839137149</v>
      </c>
      <c r="S19" s="93">
        <f t="shared" si="1"/>
        <v>107706.01999999979</v>
      </c>
      <c r="T19" s="93">
        <f t="shared" si="2"/>
        <v>109032.07</v>
      </c>
      <c r="V19" s="93">
        <v>230810</v>
      </c>
      <c r="Y19" s="92">
        <f>27014.63-5.3</f>
        <v>27009.33</v>
      </c>
      <c r="Z19" s="92">
        <v>1133.1300000000001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2 кв.2021г. '!H20-'ТСЖ 2 кв.2021г. '!I20+W20+Y20+Z20</f>
        <v>85738.76</v>
      </c>
      <c r="I20" s="33">
        <v>17038.87</v>
      </c>
      <c r="J20" s="33">
        <f>'ТСЖ 2 кв.2021г. '!J20+Y20+Z20</f>
        <v>538045.47999999986</v>
      </c>
      <c r="K20" s="33">
        <f>'ТСЖ 2 кв.2021г. '!K20+'ТСЖ 3 кв.2021г.'!I20</f>
        <v>470088.41000000003</v>
      </c>
      <c r="L20" s="43"/>
      <c r="M20" s="66"/>
      <c r="N20" s="33">
        <f>'ТСЖ 2 кв.2021г. '!N20</f>
        <v>208003.99</v>
      </c>
      <c r="O20" s="105">
        <f t="shared" ref="O20:O34" si="4">K20-N20</f>
        <v>262084.42000000004</v>
      </c>
      <c r="P20" s="74">
        <v>124839.69</v>
      </c>
      <c r="Q20" s="46">
        <f t="shared" si="3"/>
        <v>87.369642060741796</v>
      </c>
      <c r="S20" s="93">
        <f t="shared" si="1"/>
        <v>67957.069999999832</v>
      </c>
      <c r="T20" s="93">
        <f t="shared" si="2"/>
        <v>68699.89</v>
      </c>
      <c r="V20" s="93">
        <v>208003.99</v>
      </c>
      <c r="Y20" s="92">
        <v>18905.099999999999</v>
      </c>
      <c r="Z20" s="92">
        <v>650.58000000000004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2 кв.2021г. '!H21-'ТСЖ 2 кв.2021г. '!I21+W21+Y21+Z21</f>
        <v>157576.40999999997</v>
      </c>
      <c r="I21" s="61">
        <v>32352.2</v>
      </c>
      <c r="J21" s="33">
        <f>'ТСЖ 2 кв.2021г. '!J21+Y21+Z21</f>
        <v>1091905.06</v>
      </c>
      <c r="K21" s="33">
        <f>'ТСЖ 2 кв.2021г. '!K21+'ТСЖ 3 кв.2021г.'!I21</f>
        <v>967895.4099999998</v>
      </c>
      <c r="L21" s="72"/>
      <c r="M21" s="61"/>
      <c r="N21" s="33">
        <f>'ТСЖ 2 кв.2021г. '!N21</f>
        <v>0</v>
      </c>
      <c r="O21" s="106">
        <f t="shared" si="4"/>
        <v>967895.4099999998</v>
      </c>
      <c r="P21" s="44">
        <v>388089.32</v>
      </c>
      <c r="Q21" s="65">
        <f t="shared" si="3"/>
        <v>88.642817535802948</v>
      </c>
      <c r="S21" s="93">
        <f t="shared" si="1"/>
        <v>124009.65000000026</v>
      </c>
      <c r="T21" s="93">
        <f t="shared" si="2"/>
        <v>125224.20999999998</v>
      </c>
      <c r="Y21" s="92">
        <v>38605.53</v>
      </c>
      <c r="Z21" s="92">
        <v>1032.19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2 кв.2021г. '!H22-'ТСЖ 2 кв.2021г. '!I22+W22+Y22+Z22</f>
        <v>102610.85000000002</v>
      </c>
      <c r="I22" s="33">
        <f>52751.11-255.99</f>
        <v>52495.12</v>
      </c>
      <c r="J22" s="33">
        <f>'ТСЖ 2 кв.2021г. '!J22+Y22+Z22</f>
        <v>939622.66999999993</v>
      </c>
      <c r="K22" s="33">
        <f>'ТСЖ 2 кв.2021г. '!K22+'ТСЖ 3 кв.2021г.'!I22</f>
        <v>890760.15</v>
      </c>
      <c r="L22" s="43"/>
      <c r="M22" s="66"/>
      <c r="N22" s="33">
        <f>'ТСЖ 2 кв.2021г. '!N22+N23+N24</f>
        <v>454457.47</v>
      </c>
      <c r="O22" s="105">
        <f t="shared" si="4"/>
        <v>436302.68000000005</v>
      </c>
      <c r="P22" s="74">
        <v>223464.31</v>
      </c>
      <c r="Q22" s="46">
        <f>K22/J22*100</f>
        <v>94.799772125549083</v>
      </c>
      <c r="S22" s="93">
        <f t="shared" si="1"/>
        <v>48862.519999999902</v>
      </c>
      <c r="T22" s="93">
        <f t="shared" si="2"/>
        <v>50115.730000000018</v>
      </c>
      <c r="V22" s="93">
        <f>N22</f>
        <v>454457.47</v>
      </c>
      <c r="Y22" s="92">
        <v>33038.61</v>
      </c>
      <c r="Z22" s="92">
        <v>881.18</v>
      </c>
    </row>
    <row r="23" spans="1:26" s="92" customFormat="1" ht="55.5" customHeight="1">
      <c r="A23" s="32"/>
      <c r="B23" s="32"/>
      <c r="C23" s="32"/>
      <c r="D23" s="32"/>
      <c r="E23" s="32"/>
      <c r="F23" s="32"/>
      <c r="G23" s="32"/>
      <c r="H23" s="33"/>
      <c r="I23" s="33"/>
      <c r="J23" s="33"/>
      <c r="K23" s="33"/>
      <c r="L23" s="43" t="s">
        <v>316</v>
      </c>
      <c r="M23" s="66" t="s">
        <v>315</v>
      </c>
      <c r="N23" s="33">
        <v>39986.800000000003</v>
      </c>
      <c r="O23" s="105"/>
      <c r="P23" s="74"/>
      <c r="Q23" s="46"/>
      <c r="S23" s="93"/>
      <c r="T23" s="93"/>
      <c r="V23" s="93"/>
    </row>
    <row r="24" spans="1:26" s="15" customFormat="1" ht="43.5" customHeight="1">
      <c r="A24" s="32"/>
      <c r="B24" s="32"/>
      <c r="C24" s="32"/>
      <c r="D24" s="32"/>
      <c r="E24" s="32"/>
      <c r="F24" s="33"/>
      <c r="G24" s="32"/>
      <c r="H24" s="33"/>
      <c r="I24" s="33"/>
      <c r="J24" s="33"/>
      <c r="K24" s="33"/>
      <c r="L24" s="43" t="s">
        <v>317</v>
      </c>
      <c r="M24" s="66" t="s">
        <v>318</v>
      </c>
      <c r="N24" s="33">
        <v>81312</v>
      </c>
      <c r="O24" s="105"/>
      <c r="P24" s="102"/>
      <c r="Q24" s="101"/>
      <c r="R24" s="19"/>
      <c r="S24" s="19"/>
    </row>
    <row r="25" spans="1:26" s="92" customFormat="1" ht="66.75" customHeight="1">
      <c r="A25" s="32">
        <v>1</v>
      </c>
      <c r="B25" s="32" t="s">
        <v>28</v>
      </c>
      <c r="C25" s="32" t="s">
        <v>74</v>
      </c>
      <c r="D25" s="32"/>
      <c r="E25" s="32"/>
      <c r="F25" s="33">
        <v>2087.9</v>
      </c>
      <c r="G25" s="32">
        <v>5.3</v>
      </c>
      <c r="H25" s="33">
        <f>'ТСЖ 2 кв.2021г. '!H27-'ТСЖ 2 кв.2021г. '!I27+W25+Y25+Z25</f>
        <v>75465.91</v>
      </c>
      <c r="I25" s="33">
        <v>51361.33</v>
      </c>
      <c r="J25" s="33">
        <f>'ТСЖ 2 кв.2021г. '!J27+Y25+Z25</f>
        <v>943801.33999999985</v>
      </c>
      <c r="K25" s="33">
        <f>'ТСЖ 2 кв.2021г. '!K27+'ТСЖ 3 кв.2021г.'!I25</f>
        <v>920252.02</v>
      </c>
      <c r="L25" s="43"/>
      <c r="M25" s="66"/>
      <c r="N25" s="33">
        <f>'ТСЖ 2 кв.2021г. '!N27+N26</f>
        <v>314401.67000000004</v>
      </c>
      <c r="O25" s="105">
        <f t="shared" si="4"/>
        <v>605850.35</v>
      </c>
      <c r="P25" s="78">
        <v>243907.98</v>
      </c>
      <c r="Q25" s="46">
        <f t="shared" si="3"/>
        <v>97.504843551080384</v>
      </c>
      <c r="S25" s="93">
        <f t="shared" si="1"/>
        <v>23549.319999999832</v>
      </c>
      <c r="T25" s="93">
        <f t="shared" si="2"/>
        <v>24104.58</v>
      </c>
      <c r="V25" s="93">
        <f t="shared" ref="V25:V34" si="5">N25</f>
        <v>314401.67000000004</v>
      </c>
      <c r="Y25" s="92">
        <v>33175.35</v>
      </c>
      <c r="Z25" s="92">
        <v>377.13</v>
      </c>
    </row>
    <row r="26" spans="1:26" s="92" customFormat="1" ht="47.25" customHeight="1">
      <c r="A26" s="32"/>
      <c r="B26" s="32"/>
      <c r="C26" s="32"/>
      <c r="D26" s="32"/>
      <c r="E26" s="32"/>
      <c r="F26" s="32"/>
      <c r="G26" s="32"/>
      <c r="H26" s="33"/>
      <c r="I26" s="33"/>
      <c r="J26" s="33"/>
      <c r="K26" s="33"/>
      <c r="L26" s="43" t="s">
        <v>319</v>
      </c>
      <c r="M26" s="66" t="s">
        <v>297</v>
      </c>
      <c r="N26" s="33">
        <v>18287.5</v>
      </c>
      <c r="O26" s="105"/>
      <c r="P26" s="74"/>
      <c r="Q26" s="46"/>
      <c r="S26" s="93"/>
      <c r="T26" s="93"/>
      <c r="V26" s="93"/>
    </row>
    <row r="27" spans="1:26" s="92" customFormat="1" ht="45.75" thickBot="1">
      <c r="A27" s="32">
        <v>1</v>
      </c>
      <c r="B27" s="60" t="s">
        <v>28</v>
      </c>
      <c r="C27" s="60" t="s">
        <v>34</v>
      </c>
      <c r="D27" s="60"/>
      <c r="E27" s="60"/>
      <c r="F27" s="61">
        <v>2823.8</v>
      </c>
      <c r="G27" s="60">
        <v>5.3</v>
      </c>
      <c r="H27" s="33">
        <f>'ТСЖ 2 кв.2021г. '!H31-'ТСЖ 2 кв.2021г. '!I31+W27+Y27+Z27</f>
        <v>215958.03000000006</v>
      </c>
      <c r="I27" s="61">
        <f>45292.38-1200</f>
        <v>44092.38</v>
      </c>
      <c r="J27" s="33">
        <f>'ТСЖ 2 кв.2021г. '!J31+Y27+Z27</f>
        <v>1277347.8999999999</v>
      </c>
      <c r="K27" s="33">
        <f>'ТСЖ 2 кв.2021г. '!K31+'ТСЖ 3 кв.2021г.'!I27</f>
        <v>1107905.5799999998</v>
      </c>
      <c r="L27" s="72"/>
      <c r="M27" s="61"/>
      <c r="N27" s="33">
        <f>'ТСЖ 2 кв.2021г. '!N31</f>
        <v>124391</v>
      </c>
      <c r="O27" s="105">
        <f t="shared" si="4"/>
        <v>983514.57999999984</v>
      </c>
      <c r="P27" s="44">
        <v>420551</v>
      </c>
      <c r="Q27" s="65">
        <f t="shared" si="3"/>
        <v>86.734833947744377</v>
      </c>
      <c r="S27" s="93">
        <f t="shared" si="1"/>
        <v>169442.32000000007</v>
      </c>
      <c r="T27" s="93">
        <f t="shared" si="2"/>
        <v>171865.65000000005</v>
      </c>
      <c r="V27" s="93">
        <f t="shared" si="5"/>
        <v>124391</v>
      </c>
      <c r="Y27" s="92">
        <f>44901.66+3.18</f>
        <v>44904.840000000004</v>
      </c>
      <c r="Z27" s="92">
        <v>2038.52</v>
      </c>
    </row>
    <row r="28" spans="1:26" s="92" customFormat="1" ht="39" customHeight="1" thickBot="1">
      <c r="A28" s="32">
        <v>1</v>
      </c>
      <c r="B28" s="32" t="s">
        <v>37</v>
      </c>
      <c r="C28" s="32" t="s">
        <v>38</v>
      </c>
      <c r="D28" s="32"/>
      <c r="E28" s="32"/>
      <c r="F28" s="33">
        <v>1135</v>
      </c>
      <c r="G28" s="32">
        <v>5.3</v>
      </c>
      <c r="H28" s="33">
        <f>'ТСЖ 2 кв.2021г. '!H32-'ТСЖ 2 кв.2021г. '!I32+W28+Y28+Z28</f>
        <v>57656.360000000015</v>
      </c>
      <c r="I28" s="33">
        <v>15360.28</v>
      </c>
      <c r="J28" s="33">
        <f>'ТСЖ 2 кв.2021г. '!J32+Y28+Z28</f>
        <v>512744.29</v>
      </c>
      <c r="K28" s="33">
        <f>'ТСЖ 2 кв.2021г. '!K32+'ТСЖ 3 кв.2021г.'!I28</f>
        <v>470842.19</v>
      </c>
      <c r="L28" s="43"/>
      <c r="M28" s="66"/>
      <c r="N28" s="33">
        <f>'ТСЖ 2 кв.2021г. '!N32</f>
        <v>248930</v>
      </c>
      <c r="O28" s="105">
        <f t="shared" si="4"/>
        <v>221912.19</v>
      </c>
      <c r="P28" s="44">
        <v>146097.04999999999</v>
      </c>
      <c r="Q28" s="46">
        <f t="shared" si="3"/>
        <v>91.827875840411608</v>
      </c>
      <c r="S28" s="93">
        <f t="shared" si="1"/>
        <v>41902.099999999977</v>
      </c>
      <c r="T28" s="93">
        <f t="shared" si="2"/>
        <v>42296.080000000016</v>
      </c>
      <c r="U28" s="93"/>
      <c r="V28" s="93">
        <f t="shared" si="5"/>
        <v>248930</v>
      </c>
      <c r="Y28" s="92">
        <v>18046.5</v>
      </c>
      <c r="Z28" s="92">
        <v>380.21</v>
      </c>
    </row>
    <row r="29" spans="1:26" s="92" customFormat="1" ht="51" customHeight="1" thickBot="1">
      <c r="A29" s="32">
        <v>1</v>
      </c>
      <c r="B29" s="32" t="s">
        <v>37</v>
      </c>
      <c r="C29" s="32" t="s">
        <v>40</v>
      </c>
      <c r="D29" s="32"/>
      <c r="E29" s="32"/>
      <c r="F29" s="33">
        <v>2119.3000000000002</v>
      </c>
      <c r="G29" s="32">
        <v>5.3</v>
      </c>
      <c r="H29" s="33">
        <f>'ТСЖ 2 кв.2021г. '!H33-'ТСЖ 2 кв.2021г. '!I33+W29+Y29+Z29</f>
        <v>162752.62</v>
      </c>
      <c r="I29" s="33">
        <v>25106.59</v>
      </c>
      <c r="J29" s="33">
        <f>'ТСЖ 2 кв.2021г. '!J33+Y29+Z29</f>
        <v>958905.94000000006</v>
      </c>
      <c r="K29" s="33">
        <f>'ТСЖ 2 кв.2021г. '!K33+'ТСЖ 3 кв.2021г.'!I29</f>
        <v>822829.3600000001</v>
      </c>
      <c r="L29" s="43"/>
      <c r="M29" s="33"/>
      <c r="N29" s="33">
        <f>'ТСЖ 2 кв.2021г. '!N33+N30</f>
        <v>532320</v>
      </c>
      <c r="O29" s="105">
        <f t="shared" si="4"/>
        <v>290509.3600000001</v>
      </c>
      <c r="P29" s="44">
        <v>235115.53</v>
      </c>
      <c r="Q29" s="46">
        <f>K29/J29*100</f>
        <v>85.809183745383834</v>
      </c>
      <c r="S29" s="93">
        <f t="shared" si="1"/>
        <v>136076.57999999996</v>
      </c>
      <c r="T29" s="93">
        <f t="shared" si="2"/>
        <v>137646.03</v>
      </c>
      <c r="V29" s="93">
        <f t="shared" si="5"/>
        <v>532320</v>
      </c>
      <c r="Y29" s="92">
        <v>33696.870000000003</v>
      </c>
      <c r="Z29" s="92">
        <v>1431.61</v>
      </c>
    </row>
    <row r="30" spans="1:26" s="92" customFormat="1" ht="47.25" customHeight="1">
      <c r="A30" s="32"/>
      <c r="B30" s="32"/>
      <c r="C30" s="32"/>
      <c r="D30" s="32"/>
      <c r="E30" s="32"/>
      <c r="F30" s="32"/>
      <c r="G30" s="32"/>
      <c r="H30" s="33"/>
      <c r="I30" s="33"/>
      <c r="J30" s="33"/>
      <c r="K30" s="33"/>
      <c r="L30" s="43" t="s">
        <v>321</v>
      </c>
      <c r="M30" s="66" t="s">
        <v>320</v>
      </c>
      <c r="N30" s="33">
        <v>77280</v>
      </c>
      <c r="O30" s="105"/>
      <c r="P30" s="74"/>
      <c r="Q30" s="46"/>
      <c r="S30" s="93"/>
      <c r="T30" s="93"/>
      <c r="V30" s="93"/>
    </row>
    <row r="31" spans="1:26" s="92" customFormat="1" ht="51.75" customHeight="1" thickBot="1">
      <c r="A31" s="32">
        <v>1</v>
      </c>
      <c r="B31" s="32" t="s">
        <v>28</v>
      </c>
      <c r="C31" s="32" t="s">
        <v>42</v>
      </c>
      <c r="D31" s="32"/>
      <c r="E31" s="32"/>
      <c r="F31" s="33">
        <v>2094.4</v>
      </c>
      <c r="G31" s="32">
        <v>5.3</v>
      </c>
      <c r="H31" s="33">
        <f>'ТСЖ 2 кв.2021г. '!H34-'ТСЖ 2 кв.2021г. '!I34+W31+Y31+Z31</f>
        <v>169517.56999999998</v>
      </c>
      <c r="I31" s="33">
        <v>24114.01</v>
      </c>
      <c r="J31" s="33">
        <f>'ТСЖ 2 кв.2021г. '!J34+Y31+Z31</f>
        <v>948184.19000000006</v>
      </c>
      <c r="K31" s="33">
        <f>'ТСЖ 2 кв.2021г. '!K34+'ТСЖ 3 кв.2021г.'!I31</f>
        <v>804211.51</v>
      </c>
      <c r="L31" s="43"/>
      <c r="M31" s="66"/>
      <c r="N31" s="33">
        <f>'ТСЖ 2 кв.2021г. '!N34</f>
        <v>475020</v>
      </c>
      <c r="O31" s="105">
        <f t="shared" si="4"/>
        <v>329191.51</v>
      </c>
      <c r="P31" s="44">
        <v>287247.24</v>
      </c>
      <c r="Q31" s="46">
        <f>K31/J31*100</f>
        <v>84.815958595555145</v>
      </c>
      <c r="S31" s="93">
        <f t="shared" si="1"/>
        <v>143972.68000000005</v>
      </c>
      <c r="T31" s="93">
        <f t="shared" si="2"/>
        <v>145403.55999999997</v>
      </c>
      <c r="V31" s="93">
        <f t="shared" si="5"/>
        <v>475020</v>
      </c>
      <c r="Y31" s="92">
        <v>33302.550000000003</v>
      </c>
      <c r="Z31" s="92">
        <v>1304.79</v>
      </c>
    </row>
    <row r="32" spans="1:26" s="92" customFormat="1" ht="51" customHeight="1" thickBot="1">
      <c r="A32" s="32">
        <v>1</v>
      </c>
      <c r="B32" s="32" t="s">
        <v>28</v>
      </c>
      <c r="C32" s="32" t="s">
        <v>31</v>
      </c>
      <c r="D32" s="32"/>
      <c r="E32" s="32"/>
      <c r="F32" s="33">
        <v>3225.6</v>
      </c>
      <c r="G32" s="32">
        <v>5.3</v>
      </c>
      <c r="H32" s="33">
        <f>'ТСЖ 2 кв.2021г. '!H35-'ТСЖ 2 кв.2021г. '!I35+W32+Y32+Z32</f>
        <v>249189.00000000003</v>
      </c>
      <c r="I32" s="33">
        <v>75087.97</v>
      </c>
      <c r="J32" s="33">
        <f>'ТСЖ 2 кв.2021г. '!J35+Y32+Z32</f>
        <v>1460598.11</v>
      </c>
      <c r="K32" s="33">
        <f>'ТСЖ 2 кв.2021г. '!K35+'ТСЖ 3 кв.2021г.'!I32</f>
        <v>1289421.9599999997</v>
      </c>
      <c r="L32" s="43"/>
      <c r="M32" s="33"/>
      <c r="N32" s="33">
        <f>'ТСЖ 2 кв.2021г. '!N35+N33</f>
        <v>697686.2</v>
      </c>
      <c r="O32" s="105">
        <f t="shared" si="4"/>
        <v>591735.75999999978</v>
      </c>
      <c r="P32" s="44">
        <v>354498.41</v>
      </c>
      <c r="Q32" s="46">
        <f t="shared" si="3"/>
        <v>88.280407264117272</v>
      </c>
      <c r="S32" s="93">
        <f t="shared" si="1"/>
        <v>171176.15000000037</v>
      </c>
      <c r="T32" s="93">
        <f t="shared" si="2"/>
        <v>174101.03000000003</v>
      </c>
      <c r="U32" s="93"/>
      <c r="V32" s="93">
        <f t="shared" si="5"/>
        <v>697686.2</v>
      </c>
      <c r="Y32" s="92">
        <v>51287.040000000001</v>
      </c>
      <c r="Z32" s="92">
        <v>2180.6799999999998</v>
      </c>
    </row>
    <row r="33" spans="1:26" s="15" customFormat="1" ht="43.5" customHeight="1">
      <c r="A33" s="32"/>
      <c r="B33" s="32"/>
      <c r="C33" s="32"/>
      <c r="D33" s="32"/>
      <c r="E33" s="32"/>
      <c r="F33" s="33"/>
      <c r="G33" s="32"/>
      <c r="H33" s="33"/>
      <c r="I33" s="33"/>
      <c r="J33" s="33"/>
      <c r="K33" s="33"/>
      <c r="L33" s="94" t="s">
        <v>321</v>
      </c>
      <c r="M33" s="47" t="s">
        <v>320</v>
      </c>
      <c r="N33" s="33">
        <v>115920</v>
      </c>
      <c r="O33" s="105"/>
      <c r="P33" s="102"/>
      <c r="Q33" s="101"/>
      <c r="R33" s="19"/>
      <c r="S33" s="19"/>
    </row>
    <row r="34" spans="1:26" s="49" customFormat="1" ht="45" customHeight="1" thickBot="1">
      <c r="A34" s="32">
        <v>1</v>
      </c>
      <c r="B34" s="32" t="s">
        <v>28</v>
      </c>
      <c r="C34" s="32" t="s">
        <v>33</v>
      </c>
      <c r="D34" s="32"/>
      <c r="E34" s="32"/>
      <c r="F34" s="33">
        <v>2135.5</v>
      </c>
      <c r="G34" s="32">
        <v>5.3</v>
      </c>
      <c r="H34" s="33">
        <f>'ТСЖ 2 кв.2021г. '!H37-'ТСЖ 2 кв.2021г. '!I37+W34+Y34+Z34</f>
        <v>148987.76999999993</v>
      </c>
      <c r="I34" s="33">
        <v>46360.12</v>
      </c>
      <c r="J34" s="33">
        <f>'ТСЖ 2 кв.2021г. '!J37+Y34+Z34</f>
        <v>966313.05999999982</v>
      </c>
      <c r="K34" s="33">
        <f>'ТСЖ 2 кв.2021г. '!K37+'ТСЖ 3 кв.2021г.'!I34</f>
        <v>865209.1100000001</v>
      </c>
      <c r="L34" s="43"/>
      <c r="M34" s="66"/>
      <c r="N34" s="33">
        <f>'ТСЖ 2 кв.2021г. '!N37</f>
        <v>721587</v>
      </c>
      <c r="O34" s="105">
        <f t="shared" si="4"/>
        <v>143622.1100000001</v>
      </c>
      <c r="P34" s="44">
        <v>309141.18</v>
      </c>
      <c r="Q34" s="46">
        <f>K34/J34*100</f>
        <v>89.537143376702403</v>
      </c>
      <c r="S34" s="48">
        <f t="shared" si="1"/>
        <v>101103.94999999972</v>
      </c>
      <c r="T34" s="48">
        <f t="shared" si="2"/>
        <v>102627.64999999994</v>
      </c>
      <c r="V34" s="93">
        <f t="shared" si="5"/>
        <v>721587</v>
      </c>
      <c r="Y34" s="49">
        <f>34020.38-65.93</f>
        <v>33954.449999999997</v>
      </c>
      <c r="Z34" s="49">
        <v>1196.67</v>
      </c>
    </row>
    <row r="35" spans="1:26" ht="12.75" customHeight="1">
      <c r="A35" s="2"/>
      <c r="Y35" s="100">
        <f>SUM(Y15:Y34)</f>
        <v>550205.57999999996</v>
      </c>
      <c r="Z35" s="100">
        <f>SUM(Z15:Z34)</f>
        <v>20189.339999999997</v>
      </c>
    </row>
    <row r="36" spans="1:26" ht="15.75">
      <c r="A36" s="4" t="s">
        <v>76</v>
      </c>
      <c r="C36" s="17"/>
      <c r="D36" s="17"/>
      <c r="E36" s="17"/>
      <c r="F36" s="17"/>
      <c r="G36" s="17"/>
      <c r="H36" s="17"/>
      <c r="I36" s="26"/>
    </row>
    <row r="37" spans="1:26" ht="18.75" customHeight="1">
      <c r="A37" s="2"/>
      <c r="B37" s="107" t="s">
        <v>164</v>
      </c>
      <c r="C37" s="202" t="s">
        <v>322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Y37" s="100"/>
    </row>
    <row r="38" spans="1:26">
      <c r="A38" s="2"/>
      <c r="B38" s="108" t="s">
        <v>165</v>
      </c>
      <c r="C38" s="202" t="s">
        <v>303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26">
      <c r="A39" s="2"/>
      <c r="B39" s="108" t="s">
        <v>166</v>
      </c>
      <c r="C39" s="202" t="s">
        <v>323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26" ht="15.75" customHeight="1">
      <c r="A40" s="2"/>
      <c r="B40" s="108" t="s">
        <v>167</v>
      </c>
      <c r="C40" s="202" t="s">
        <v>324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26" ht="15.75" customHeight="1">
      <c r="A41" s="2"/>
      <c r="B41" s="108" t="s">
        <v>168</v>
      </c>
      <c r="C41" s="202" t="s">
        <v>325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6" ht="15.75">
      <c r="A42" s="2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26" s="27" customFormat="1" ht="15.75">
      <c r="A43" s="4" t="str">
        <f>'УК 3кв. 2021г.'!A33</f>
        <v>05 октября 2021 г.</v>
      </c>
      <c r="I43" s="28"/>
    </row>
    <row r="44" spans="1:26" s="27" customFormat="1" ht="15.75">
      <c r="A44" s="4"/>
      <c r="I44" s="28"/>
    </row>
    <row r="45" spans="1:26" s="27" customFormat="1" ht="15.75">
      <c r="A45" s="4"/>
      <c r="I45" s="28"/>
    </row>
    <row r="46" spans="1:26" s="27" customFormat="1" ht="15.75">
      <c r="A46" s="4" t="s">
        <v>47</v>
      </c>
      <c r="I46" s="28"/>
    </row>
    <row r="47" spans="1:26" s="27" customFormat="1" ht="15.75" hidden="1">
      <c r="A47" s="30" t="s">
        <v>48</v>
      </c>
      <c r="I47" s="28"/>
    </row>
    <row r="48" spans="1:26">
      <c r="A48" s="1"/>
    </row>
    <row r="49" spans="1:11">
      <c r="A49" s="1"/>
      <c r="K49" s="3"/>
    </row>
    <row r="50" spans="1:11">
      <c r="A50" s="1"/>
    </row>
    <row r="51" spans="1:11">
      <c r="A51" s="1"/>
    </row>
    <row r="52" spans="1:11">
      <c r="A52" s="1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</sheetData>
  <mergeCells count="29">
    <mergeCell ref="C37:O37"/>
    <mergeCell ref="C38:O38"/>
    <mergeCell ref="C39:O39"/>
    <mergeCell ref="C40:O40"/>
    <mergeCell ref="C41:O4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F11:F13"/>
    <mergeCell ref="G11:G13"/>
    <mergeCell ref="H11:I11"/>
    <mergeCell ref="J11:K11"/>
    <mergeCell ref="L11:N11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7"/>
  <sheetViews>
    <sheetView topLeftCell="C10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2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2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2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2" ht="15.75">
      <c r="A4" s="158" t="s">
        <v>285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2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2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2" ht="15.75">
      <c r="A7" s="1" t="s">
        <v>7</v>
      </c>
      <c r="D7" s="18" t="s">
        <v>51</v>
      </c>
      <c r="E7" s="17"/>
      <c r="F7" s="17"/>
      <c r="G7" s="17"/>
      <c r="H7" s="17"/>
    </row>
    <row r="8" spans="1:22">
      <c r="A8" s="1" t="s">
        <v>8</v>
      </c>
    </row>
    <row r="9" spans="1:22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2" ht="15.75">
      <c r="A10" s="18" t="s">
        <v>61</v>
      </c>
    </row>
    <row r="11" spans="1:22" ht="15.75">
      <c r="A11" s="18" t="s">
        <v>62</v>
      </c>
    </row>
    <row r="12" spans="1:22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2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2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</row>
    <row r="15" spans="1:22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2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1кв. 2021г.'!H16-'УК 1кв. 2021г.'!I16+V16</f>
        <v>322654.11999999994</v>
      </c>
      <c r="I16" s="33">
        <f>131925.84-9578.74</f>
        <v>122347.09999999999</v>
      </c>
      <c r="J16" s="33">
        <f>'УК 1кв. 2021г.'!J16+'УК 2кв. 2021г.'!V16</f>
        <v>3998907.8799999994</v>
      </c>
      <c r="K16" s="33">
        <f>'УК 1кв. 2021г.'!K16+'УК 2кв. 2021г.'!I16</f>
        <v>3879377.55</v>
      </c>
      <c r="L16" s="64"/>
      <c r="M16" s="47"/>
      <c r="N16" s="33">
        <f>'УК 4 кв. 2020г.'!N16</f>
        <v>894970.86</v>
      </c>
      <c r="O16" s="33">
        <f>K16-N16</f>
        <v>2984406.69</v>
      </c>
      <c r="P16" s="104">
        <f t="shared" ref="P16:P22" si="0">K16/J16*100</f>
        <v>97.01092564302833</v>
      </c>
      <c r="R16" s="19">
        <f>J16-K16</f>
        <v>119530.32999999961</v>
      </c>
      <c r="S16" s="19">
        <f>H16-I16</f>
        <v>200307.01999999996</v>
      </c>
      <c r="V16" s="15">
        <f>148068.78+2063.34</f>
        <v>150132.12</v>
      </c>
    </row>
    <row r="17" spans="1:22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1кв. 2021г.'!H17-'УК 1кв. 2021г.'!I17+V17</f>
        <v>112027.22000000002</v>
      </c>
      <c r="I17" s="33">
        <v>56494.43</v>
      </c>
      <c r="J17" s="33">
        <f>'УК 1кв. 2021г.'!J17+'УК 2кв. 2021г.'!V17</f>
        <v>1086748.8</v>
      </c>
      <c r="K17" s="33">
        <f>'УК 1кв. 2021г.'!K17+'УК 2кв. 2021г.'!I17</f>
        <v>1031216.0100000001</v>
      </c>
      <c r="L17" s="32"/>
      <c r="M17" s="32"/>
      <c r="N17" s="33">
        <f>'УК 4 кв. 2020г.'!N17</f>
        <v>0</v>
      </c>
      <c r="O17" s="33">
        <f>K17-N17</f>
        <v>1031216.0100000001</v>
      </c>
      <c r="P17" s="102">
        <f t="shared" si="0"/>
        <v>94.890006779855668</v>
      </c>
      <c r="R17" s="19">
        <f>J17-K17</f>
        <v>55532.789999999921</v>
      </c>
      <c r="S17" s="19">
        <f>H17-I17</f>
        <v>55532.790000000015</v>
      </c>
      <c r="V17" s="15">
        <f>67720.32+682.43</f>
        <v>68402.75</v>
      </c>
    </row>
    <row r="18" spans="1:22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1кв. 2021г.'!H18-'УК 1кв. 2021г.'!I18+V18</f>
        <v>495380.08999999997</v>
      </c>
      <c r="I18" s="33">
        <v>188911.05</v>
      </c>
      <c r="J18" s="33">
        <f>'УК 1кв. 2021г.'!J18+'УК 2кв. 2021г.'!V18</f>
        <v>1481772.53</v>
      </c>
      <c r="K18" s="33">
        <f>'УК 1кв. 2021г.'!K18+'УК 2кв. 2021г.'!I18</f>
        <v>1175303.49</v>
      </c>
      <c r="L18" s="34"/>
      <c r="M18" s="89"/>
      <c r="N18" s="33">
        <f>'УК 4 кв. 2020г.'!N18</f>
        <v>150967</v>
      </c>
      <c r="O18" s="33">
        <f>K18-N18</f>
        <v>1024336.49</v>
      </c>
      <c r="P18" s="102">
        <f t="shared" si="0"/>
        <v>79.317403056459682</v>
      </c>
      <c r="R18" s="19">
        <f>J18-K18</f>
        <v>306469.04000000004</v>
      </c>
      <c r="S18" s="19">
        <f>H18-I18</f>
        <v>306469.03999999998</v>
      </c>
      <c r="V18" s="15">
        <f>55277.73+5286.56</f>
        <v>60564.29</v>
      </c>
    </row>
    <row r="19" spans="1:22" s="15" customFormat="1" ht="48.75" customHeight="1">
      <c r="A19" s="32">
        <v>1</v>
      </c>
      <c r="B19" s="32" t="s">
        <v>28</v>
      </c>
      <c r="C19" s="103" t="s">
        <v>92</v>
      </c>
      <c r="D19" s="32">
        <v>2012</v>
      </c>
      <c r="E19" s="32"/>
      <c r="F19" s="33">
        <v>2729.9</v>
      </c>
      <c r="G19" s="32">
        <v>7.32</v>
      </c>
      <c r="H19" s="33">
        <f>'УК 1кв. 2021г.'!H19-'УК 1кв. 2021г.'!I19+V19</f>
        <v>274362.12999999995</v>
      </c>
      <c r="I19" s="33">
        <f>50002.88-465.55</f>
        <v>49537.329999999994</v>
      </c>
      <c r="J19" s="33">
        <f>'УК 1кв. 2021г.'!J19+'УК 2кв. 2021г.'!V19</f>
        <v>1676755.13</v>
      </c>
      <c r="K19" s="33">
        <f>'УК 1кв. 2021г.'!K19+'УК 2кв. 2021г.'!I19</f>
        <v>1451930.33</v>
      </c>
      <c r="L19" s="43"/>
      <c r="M19" s="91"/>
      <c r="N19" s="33">
        <f>'УК 4 кв. 2020г.'!N19</f>
        <v>104440.4</v>
      </c>
      <c r="O19" s="33">
        <f t="shared" ref="O19:O22" si="1">K19-N19</f>
        <v>1347489.9300000002</v>
      </c>
      <c r="P19" s="102">
        <f t="shared" si="0"/>
        <v>86.591673645274611</v>
      </c>
      <c r="R19" s="19">
        <f>J19-K19</f>
        <v>224824.79999999981</v>
      </c>
      <c r="S19" s="19">
        <f t="shared" ref="S19:S20" si="2">H19-I19</f>
        <v>224824.79999999996</v>
      </c>
      <c r="U19" s="19"/>
      <c r="V19" s="19">
        <f>59948.61+2651.98</f>
        <v>62600.590000000004</v>
      </c>
    </row>
    <row r="20" spans="1:22">
      <c r="A20" s="32">
        <v>1</v>
      </c>
      <c r="B20" s="32" t="s">
        <v>28</v>
      </c>
      <c r="C20" s="103" t="s">
        <v>152</v>
      </c>
      <c r="D20" s="32">
        <v>2007</v>
      </c>
      <c r="E20" s="32"/>
      <c r="F20" s="33">
        <v>2918.7</v>
      </c>
      <c r="G20" s="32">
        <v>7.32</v>
      </c>
      <c r="H20" s="33">
        <f>'УК 1кв. 2021г.'!H20-'УК 1кв. 2021г.'!I20+V20</f>
        <v>363432.78999999992</v>
      </c>
      <c r="I20" s="33">
        <f>67810.35-1027</f>
        <v>66783.350000000006</v>
      </c>
      <c r="J20" s="33">
        <f>'УК 1кв. 2021г.'!J20+'УК 2кв. 2021г.'!V20</f>
        <v>2158688.36</v>
      </c>
      <c r="K20" s="33">
        <f>'УК 1кв. 2021г.'!K20+'УК 2кв. 2021г.'!I20</f>
        <v>1482780.7600000002</v>
      </c>
      <c r="L20" s="32"/>
      <c r="M20" s="32"/>
      <c r="N20" s="33">
        <f>'УК 1кв. 2021г.'!N20+N21</f>
        <v>650595</v>
      </c>
      <c r="O20" s="33">
        <f t="shared" si="1"/>
        <v>832185.76000000024</v>
      </c>
      <c r="P20" s="102">
        <f t="shared" si="0"/>
        <v>68.6889681473059</v>
      </c>
      <c r="R20" s="19">
        <f>J20-K20</f>
        <v>675907.59999999963</v>
      </c>
      <c r="S20" s="19">
        <f t="shared" si="2"/>
        <v>296649.43999999994</v>
      </c>
      <c r="V20" s="13">
        <f>64094.67+3997.47</f>
        <v>68092.14</v>
      </c>
    </row>
    <row r="21" spans="1:22" s="15" customFormat="1" ht="43.5" customHeight="1">
      <c r="A21" s="32"/>
      <c r="B21" s="32"/>
      <c r="C21" s="32"/>
      <c r="D21" s="32"/>
      <c r="E21" s="32"/>
      <c r="F21" s="33"/>
      <c r="G21" s="32"/>
      <c r="H21" s="33"/>
      <c r="I21" s="33"/>
      <c r="J21" s="33"/>
      <c r="K21" s="33"/>
      <c r="L21" s="94">
        <v>44347</v>
      </c>
      <c r="M21" s="89" t="s">
        <v>287</v>
      </c>
      <c r="N21" s="33">
        <v>323422</v>
      </c>
      <c r="O21" s="33"/>
      <c r="P21" s="102"/>
      <c r="R21" s="19"/>
      <c r="S21" s="19"/>
    </row>
    <row r="22" spans="1:22" ht="30">
      <c r="A22" s="32">
        <v>1</v>
      </c>
      <c r="B22" s="32" t="s">
        <v>28</v>
      </c>
      <c r="C22" s="103" t="s">
        <v>274</v>
      </c>
      <c r="D22" s="32">
        <v>2018</v>
      </c>
      <c r="E22" s="32"/>
      <c r="F22" s="33">
        <v>4764.6000000000004</v>
      </c>
      <c r="G22" s="32">
        <v>7.32</v>
      </c>
      <c r="H22" s="33">
        <f>'УК 1кв. 2021г.'!H21-'УК 1кв. 2021г.'!I21+V22</f>
        <v>213543.19</v>
      </c>
      <c r="I22" s="33">
        <f>106328.73+2617.73</f>
        <v>108946.45999999999</v>
      </c>
      <c r="J22" s="33">
        <f>'УК 1кв. 2021г.'!J21+'УК 2кв. 2021г.'!V22</f>
        <v>315076.42000000004</v>
      </c>
      <c r="K22" s="33">
        <f>'УК 1кв. 2021г.'!K21+'УК 2кв. 2021г.'!I22</f>
        <v>210479.69</v>
      </c>
      <c r="L22" s="32"/>
      <c r="M22" s="32"/>
      <c r="N22" s="33">
        <f>'УК 4 кв. 2020г.'!N21</f>
        <v>0</v>
      </c>
      <c r="O22" s="33">
        <f t="shared" si="1"/>
        <v>210479.69</v>
      </c>
      <c r="P22" s="102">
        <f t="shared" si="0"/>
        <v>66.802742648910368</v>
      </c>
      <c r="R22" s="19"/>
      <c r="S22" s="19"/>
      <c r="V22" s="13">
        <f>104630.49+819.98</f>
        <v>105450.47</v>
      </c>
    </row>
    <row r="23" spans="1:22">
      <c r="A23" s="67"/>
      <c r="B23" s="67"/>
      <c r="C23" s="67"/>
      <c r="D23" s="67"/>
      <c r="E23" s="67"/>
      <c r="F23" s="68"/>
      <c r="G23" s="67"/>
      <c r="H23" s="68"/>
      <c r="I23" s="68"/>
      <c r="J23" s="68"/>
      <c r="K23" s="68"/>
      <c r="L23" s="67"/>
      <c r="M23" s="67"/>
      <c r="N23" s="67"/>
      <c r="O23" s="68"/>
      <c r="P23" s="63"/>
    </row>
    <row r="24" spans="1:22" s="17" customFormat="1" ht="15.75">
      <c r="A24" s="4" t="s">
        <v>64</v>
      </c>
      <c r="C24" s="90"/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90" t="s">
        <v>284</v>
      </c>
      <c r="D25" s="90"/>
      <c r="E25" s="90"/>
      <c r="F25" s="90"/>
      <c r="G25" s="90"/>
      <c r="H25" s="90"/>
      <c r="I25" s="90"/>
      <c r="J25" s="90"/>
      <c r="K25" s="90"/>
      <c r="L25" s="4"/>
      <c r="P25" s="62"/>
    </row>
    <row r="26" spans="1:22" s="17" customFormat="1" ht="15.75">
      <c r="A26" s="4"/>
      <c r="C26" s="13" t="s">
        <v>294</v>
      </c>
      <c r="D26" s="13"/>
      <c r="E26" s="13"/>
      <c r="F26" s="13"/>
      <c r="G26" s="13"/>
      <c r="H26" s="13"/>
      <c r="I26" s="13"/>
      <c r="J26" s="13"/>
      <c r="K26" s="13"/>
      <c r="P26" s="62"/>
    </row>
    <row r="27" spans="1:22" s="17" customFormat="1" ht="15.75">
      <c r="A27" s="4"/>
      <c r="C27" s="13" t="s">
        <v>288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/>
      <c r="C28" s="13" t="s">
        <v>289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2" s="17" customFormat="1" ht="15.75">
      <c r="A29" s="4"/>
      <c r="C29" s="13" t="s">
        <v>290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2" s="17" customFormat="1" ht="15.75">
      <c r="A30" s="4"/>
      <c r="C30" s="13" t="s">
        <v>291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2" s="17" customFormat="1" ht="15.75">
      <c r="A31" s="4"/>
      <c r="C31" s="13" t="s">
        <v>292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2" s="17" customFormat="1" ht="15.75">
      <c r="A32" s="4"/>
      <c r="C32" s="13"/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>
      <c r="A33" s="4"/>
      <c r="C33" s="13"/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>
      <c r="A34" s="4" t="s">
        <v>286</v>
      </c>
      <c r="P34" s="62"/>
    </row>
    <row r="35" spans="1:16" s="17" customFormat="1" ht="15.75">
      <c r="A35" s="4" t="s">
        <v>59</v>
      </c>
      <c r="P35" s="62"/>
    </row>
    <row r="36" spans="1:16" s="17" customFormat="1" ht="15.75">
      <c r="A36" s="4"/>
      <c r="P36" s="62"/>
    </row>
    <row r="37" spans="1:16">
      <c r="A37" s="2" t="s">
        <v>48</v>
      </c>
    </row>
  </sheetData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9"/>
  <sheetViews>
    <sheetView topLeftCell="A4" workbookViewId="0">
      <selection activeCell="H23" sqref="H23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2кв. 2021г.'!A4:O4</f>
        <v xml:space="preserve">по состоянию за 2 квартал 2021 года на 01 июля 2021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1 кв.2021г.'!H15-'ТСЖ 1 кв.2021г.'!I15+'ТСЖ 2 кв.2021г. '!Y15+W15+Z15</f>
        <v>374928.93</v>
      </c>
      <c r="I15" s="33">
        <f>78632.76-540.71+557.84</f>
        <v>78649.889999999985</v>
      </c>
      <c r="J15" s="33">
        <f>'ТСЖ 1 кв.2021г.'!J15+'ТСЖ 2 кв.2021г. '!Y15</f>
        <v>2072228.33</v>
      </c>
      <c r="K15" s="33">
        <f>'ТСЖ 1 кв.2021г.'!K15+'ТСЖ 2 кв.2021г. '!I15</f>
        <v>1789198.22</v>
      </c>
      <c r="L15" s="43"/>
      <c r="M15" s="66"/>
      <c r="N15" s="33">
        <f>'ТСЖ 1 кв.2021г.'!N15</f>
        <v>426357.21</v>
      </c>
      <c r="O15" s="105">
        <f>K15-V15</f>
        <v>1362841.01</v>
      </c>
      <c r="P15" s="74">
        <v>520817.08</v>
      </c>
      <c r="Q15" s="46">
        <f>K15/J15*100</f>
        <v>86.341750766432185</v>
      </c>
      <c r="S15" s="48">
        <f>J15-K15+W15</f>
        <v>285059.97000000009</v>
      </c>
      <c r="T15" s="48">
        <f>H15-I15</f>
        <v>296279.04000000004</v>
      </c>
      <c r="V15" s="48">
        <v>426357.21</v>
      </c>
      <c r="W15" s="49">
        <f>1489.15+540.71</f>
        <v>2029.8600000000001</v>
      </c>
      <c r="Y15" s="49">
        <v>75529.77</v>
      </c>
      <c r="Z15" s="49">
        <v>1989.6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1 кв.2021г.'!H16-'ТСЖ 1 кв.2021г.'!I16+'ТСЖ 2 кв.2021г. '!Y16+W16+Z16</f>
        <v>83375.95</v>
      </c>
      <c r="I16" s="33">
        <v>17602.060000000001</v>
      </c>
      <c r="J16" s="33">
        <f>'ТСЖ 1 кв.2021г.'!J16+'ТСЖ 2 кв.2021г. '!Y16</f>
        <v>831064.4700000002</v>
      </c>
      <c r="K16" s="33">
        <f>'ТСЖ 1 кв.2021г.'!K16+'ТСЖ 2 кв.2021г. '!I16</f>
        <v>766252.53</v>
      </c>
      <c r="L16" s="43"/>
      <c r="M16" s="66"/>
      <c r="N16" s="33">
        <f>'ТСЖ 1 кв.2021г.'!N16</f>
        <v>221688.82</v>
      </c>
      <c r="O16" s="105">
        <f t="shared" ref="O16:O18" si="0">K16-V16</f>
        <v>544563.71</v>
      </c>
      <c r="P16" s="78">
        <v>264064.82</v>
      </c>
      <c r="Q16" s="46">
        <f>K16/J16*100</f>
        <v>92.201334271936787</v>
      </c>
      <c r="S16" s="48">
        <f t="shared" ref="S16:S37" si="1">J16-K16+W16</f>
        <v>64811.940000000177</v>
      </c>
      <c r="T16" s="48">
        <f t="shared" ref="T16:T37" si="2">H16-I16</f>
        <v>65773.89</v>
      </c>
      <c r="V16" s="48">
        <v>221688.82</v>
      </c>
      <c r="Y16" s="49">
        <v>30349.919999999998</v>
      </c>
      <c r="Z16" s="49">
        <v>608.16999999999996</v>
      </c>
    </row>
    <row r="17" spans="1:26" s="49" customFormat="1" ht="39.75" customHeight="1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1 кв.2021г.'!H17-'ТСЖ 1 кв.2021г.'!I17+'ТСЖ 2 кв.2021г. '!Y17+W17+Z17</f>
        <v>172698.35000000003</v>
      </c>
      <c r="I17" s="61">
        <f>38805.61+364.11</f>
        <v>39169.72</v>
      </c>
      <c r="J17" s="33">
        <f>'ТСЖ 1 кв.2021г.'!J17+'ТСЖ 2 кв.2021г. '!Y17</f>
        <v>851165.88999999966</v>
      </c>
      <c r="K17" s="33">
        <f>'ТСЖ 1 кв.2021г.'!K17+'ТСЖ 2 кв.2021г. '!I17</f>
        <v>719374.29999999993</v>
      </c>
      <c r="L17" s="72"/>
      <c r="M17" s="73"/>
      <c r="N17" s="33">
        <f>'ТСЖ 1 кв.2021г.'!N17</f>
        <v>476040</v>
      </c>
      <c r="O17" s="106">
        <f t="shared" si="0"/>
        <v>243334.29999999993</v>
      </c>
      <c r="P17" s="74">
        <v>253163.82</v>
      </c>
      <c r="Q17" s="65">
        <f>K17/J17*100</f>
        <v>84.516344986521986</v>
      </c>
      <c r="S17" s="48">
        <f t="shared" si="1"/>
        <v>131791.58999999973</v>
      </c>
      <c r="T17" s="48">
        <f t="shared" si="2"/>
        <v>133528.63000000003</v>
      </c>
      <c r="V17" s="48">
        <v>476040</v>
      </c>
      <c r="Y17" s="49">
        <v>30962.07</v>
      </c>
      <c r="Z17" s="49">
        <v>1024.05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1 кв.2021г.'!H18-'ТСЖ 1 кв.2021г.'!I18+'ТСЖ 2 кв.2021г. '!Y18+W18+Z18</f>
        <v>265548.12000000005</v>
      </c>
      <c r="I18" s="61">
        <v>27265.29</v>
      </c>
      <c r="J18" s="33">
        <f>'ТСЖ 1 кв.2021г.'!J18+'ТСЖ 2 кв.2021г. '!Y18</f>
        <v>1301839.8099999996</v>
      </c>
      <c r="K18" s="33">
        <f>'ТСЖ 1 кв.2021г.'!K18+'ТСЖ 2 кв.2021г. '!I18</f>
        <v>1066176.69</v>
      </c>
      <c r="L18" s="72"/>
      <c r="M18" s="73"/>
      <c r="N18" s="33">
        <f>'ТСЖ 1 кв.2021г.'!N18</f>
        <v>731630</v>
      </c>
      <c r="O18" s="105">
        <f t="shared" si="0"/>
        <v>334546.68999999994</v>
      </c>
      <c r="P18" s="44">
        <v>378042.71</v>
      </c>
      <c r="Q18" s="65">
        <f t="shared" ref="Q18:Q35" si="3">K18/J18*100</f>
        <v>81.89768678221634</v>
      </c>
      <c r="S18" s="48">
        <f t="shared" si="1"/>
        <v>235663.11999999965</v>
      </c>
      <c r="T18" s="48">
        <f t="shared" si="2"/>
        <v>238282.83000000005</v>
      </c>
      <c r="V18" s="48">
        <v>731630</v>
      </c>
      <c r="Y18" s="49">
        <v>47437.65</v>
      </c>
      <c r="Z18" s="49">
        <v>1613.36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1 кв.2021г.'!H19-'ТСЖ 1 кв.2021г.'!I19+'ТСЖ 2 кв.2021г. '!Y19+W19+Z19</f>
        <v>137653.99</v>
      </c>
      <c r="I19" s="33">
        <f>39922.52-521</f>
        <v>39401.519999999997</v>
      </c>
      <c r="J19" s="33">
        <f>'ТСЖ 1 кв.2021г.'!J19+'ТСЖ 2 кв.2021г. '!Y19</f>
        <v>741826.96999999986</v>
      </c>
      <c r="K19" s="33">
        <f>'ТСЖ 1 кв.2021г.'!K19+'ТСЖ 2 кв.2021г. '!I19</f>
        <v>644900.55000000005</v>
      </c>
      <c r="L19" s="43"/>
      <c r="M19" s="66"/>
      <c r="N19" s="33">
        <f>'ТСЖ 1 кв.2021г.'!N19</f>
        <v>230810</v>
      </c>
      <c r="O19" s="105">
        <f>K19-N19</f>
        <v>414090.55000000005</v>
      </c>
      <c r="P19" s="44">
        <v>252978.03</v>
      </c>
      <c r="Q19" s="46">
        <f>K19/J19*100</f>
        <v>86.934093269755365</v>
      </c>
      <c r="S19" s="93">
        <f t="shared" si="1"/>
        <v>96926.419999999809</v>
      </c>
      <c r="T19" s="93">
        <f t="shared" si="2"/>
        <v>98252.47</v>
      </c>
      <c r="V19" s="93">
        <v>230810</v>
      </c>
      <c r="Y19" s="92">
        <v>27025.23</v>
      </c>
      <c r="Z19" s="92">
        <v>798.69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1 кв.2021г.'!H20-'ТСЖ 1 кв.2021г.'!I20+'ТСЖ 2 кв.2021г. '!Y20+W20+Z20</f>
        <v>82289.98</v>
      </c>
      <c r="I20" s="33">
        <v>16106.9</v>
      </c>
      <c r="J20" s="33">
        <f>'ТСЖ 1 кв.2021г.'!J20+'ТСЖ 2 кв.2021г. '!Y20</f>
        <v>518489.79999999987</v>
      </c>
      <c r="K20" s="33">
        <f>'ТСЖ 1 кв.2021г.'!K20+'ТСЖ 2 кв.2021г. '!I20</f>
        <v>453049.54000000004</v>
      </c>
      <c r="L20" s="43"/>
      <c r="M20" s="66"/>
      <c r="N20" s="33">
        <f>'ТСЖ 1 кв.2021г.'!N20</f>
        <v>208003.99</v>
      </c>
      <c r="O20" s="105">
        <f t="shared" ref="O20:O37" si="4">K20-N20</f>
        <v>245045.55000000005</v>
      </c>
      <c r="P20" s="74">
        <v>124839.69</v>
      </c>
      <c r="Q20" s="46">
        <f t="shared" si="3"/>
        <v>87.378679387714115</v>
      </c>
      <c r="S20" s="93">
        <f t="shared" si="1"/>
        <v>65440.259999999835</v>
      </c>
      <c r="T20" s="93">
        <f t="shared" si="2"/>
        <v>66183.08</v>
      </c>
      <c r="V20" s="93">
        <v>208003.99</v>
      </c>
      <c r="Y20" s="92">
        <v>18905.099999999999</v>
      </c>
      <c r="Z20" s="92">
        <v>444.7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1 кв.2021г.'!H21-'ТСЖ 1 кв.2021г.'!I21+'ТСЖ 2 кв.2021г. '!Y21+W21+Z21</f>
        <v>151057.73999999996</v>
      </c>
      <c r="I21" s="61">
        <v>33119.050000000003</v>
      </c>
      <c r="J21" s="33">
        <f>'ТСЖ 1 кв.2021г.'!J21+'ТСЖ 2 кв.2021г. '!Y21</f>
        <v>1052267.3400000001</v>
      </c>
      <c r="K21" s="33">
        <f>'ТСЖ 1 кв.2021г.'!K21+'ТСЖ 2 кв.2021г. '!I21</f>
        <v>935543.20999999985</v>
      </c>
      <c r="L21" s="72"/>
      <c r="M21" s="61"/>
      <c r="N21" s="33">
        <f>'ТСЖ 1 кв.2021г.'!N21</f>
        <v>0</v>
      </c>
      <c r="O21" s="106">
        <f t="shared" si="4"/>
        <v>935543.20999999985</v>
      </c>
      <c r="P21" s="44">
        <v>388089.32</v>
      </c>
      <c r="Q21" s="65">
        <f t="shared" si="3"/>
        <v>88.907369300276855</v>
      </c>
      <c r="S21" s="93">
        <f t="shared" si="1"/>
        <v>116724.13000000024</v>
      </c>
      <c r="T21" s="93">
        <f t="shared" si="2"/>
        <v>117938.68999999996</v>
      </c>
      <c r="Y21" s="92">
        <v>38605.53</v>
      </c>
      <c r="Z21" s="92">
        <v>732.6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1 кв.2021г.'!H22-'ТСЖ 1 кв.2021г.'!I22+'ТСЖ 2 кв.2021г. '!Y22+W22+Z22</f>
        <v>94840.680000000022</v>
      </c>
      <c r="I22" s="33">
        <f>25893.63+255.99</f>
        <v>26149.620000000003</v>
      </c>
      <c r="J22" s="33">
        <f>'ТСЖ 1 кв.2021г.'!J22+'ТСЖ 2 кв.2021г. '!Y22</f>
        <v>905702.87999999989</v>
      </c>
      <c r="K22" s="33">
        <f>'ТСЖ 1 кв.2021г.'!K22+'ТСЖ 2 кв.2021г. '!I22</f>
        <v>838265.03</v>
      </c>
      <c r="L22" s="43"/>
      <c r="M22" s="66"/>
      <c r="N22" s="33">
        <f>'ТСЖ 1 кв.2021г.'!N22+N26+N23+N24+N25</f>
        <v>333158.67</v>
      </c>
      <c r="O22" s="105">
        <f t="shared" si="4"/>
        <v>505106.36000000004</v>
      </c>
      <c r="P22" s="74">
        <v>223464.31</v>
      </c>
      <c r="Q22" s="46">
        <f>K22/J22*100</f>
        <v>92.554086832538303</v>
      </c>
      <c r="S22" s="93">
        <f t="shared" si="1"/>
        <v>67437.84999999986</v>
      </c>
      <c r="T22" s="93">
        <f t="shared" si="2"/>
        <v>68691.060000000027</v>
      </c>
      <c r="V22" s="93">
        <f>N22</f>
        <v>333158.67</v>
      </c>
      <c r="Y22" s="92">
        <v>33038.61</v>
      </c>
      <c r="Z22" s="92">
        <v>766.89</v>
      </c>
    </row>
    <row r="23" spans="1:26" s="92" customFormat="1" ht="55.5" customHeight="1">
      <c r="A23" s="32"/>
      <c r="B23" s="32"/>
      <c r="C23" s="32"/>
      <c r="D23" s="32"/>
      <c r="E23" s="32"/>
      <c r="F23" s="32"/>
      <c r="G23" s="32"/>
      <c r="H23" s="33"/>
      <c r="I23" s="33"/>
      <c r="J23" s="33"/>
      <c r="K23" s="33"/>
      <c r="L23" s="43">
        <v>44351</v>
      </c>
      <c r="M23" s="66" t="s">
        <v>295</v>
      </c>
      <c r="N23" s="33">
        <v>17137.2</v>
      </c>
      <c r="O23" s="105"/>
      <c r="P23" s="74"/>
      <c r="Q23" s="46"/>
      <c r="S23" s="93"/>
      <c r="T23" s="93"/>
      <c r="V23" s="93"/>
    </row>
    <row r="24" spans="1:26" s="92" customFormat="1" ht="42.75" customHeight="1">
      <c r="A24" s="32"/>
      <c r="B24" s="32"/>
      <c r="C24" s="32"/>
      <c r="D24" s="32"/>
      <c r="E24" s="32"/>
      <c r="F24" s="32"/>
      <c r="G24" s="32"/>
      <c r="H24" s="33"/>
      <c r="I24" s="33"/>
      <c r="J24" s="33"/>
      <c r="K24" s="33"/>
      <c r="L24" s="43" t="s">
        <v>296</v>
      </c>
      <c r="M24" s="66" t="s">
        <v>297</v>
      </c>
      <c r="N24" s="33">
        <v>26125</v>
      </c>
      <c r="O24" s="105"/>
      <c r="P24" s="74"/>
      <c r="Q24" s="46"/>
      <c r="S24" s="93"/>
      <c r="T24" s="93"/>
      <c r="V24" s="93"/>
    </row>
    <row r="25" spans="1:26" s="92" customFormat="1" ht="72" customHeight="1">
      <c r="A25" s="32"/>
      <c r="B25" s="32"/>
      <c r="C25" s="32"/>
      <c r="D25" s="32"/>
      <c r="E25" s="32"/>
      <c r="F25" s="32"/>
      <c r="G25" s="32"/>
      <c r="H25" s="33"/>
      <c r="I25" s="33"/>
      <c r="J25" s="33"/>
      <c r="K25" s="33"/>
      <c r="L25" s="43" t="s">
        <v>296</v>
      </c>
      <c r="M25" s="66" t="s">
        <v>298</v>
      </c>
      <c r="N25" s="33">
        <v>18757</v>
      </c>
      <c r="O25" s="105"/>
      <c r="P25" s="74"/>
      <c r="Q25" s="46"/>
      <c r="S25" s="93"/>
      <c r="T25" s="93"/>
      <c r="V25" s="93"/>
    </row>
    <row r="26" spans="1:26" s="15" customFormat="1" ht="43.5" customHeight="1">
      <c r="A26" s="32"/>
      <c r="B26" s="32"/>
      <c r="C26" s="32"/>
      <c r="D26" s="32"/>
      <c r="E26" s="32"/>
      <c r="F26" s="33"/>
      <c r="G26" s="32"/>
      <c r="H26" s="33"/>
      <c r="I26" s="33"/>
      <c r="J26" s="33"/>
      <c r="K26" s="33"/>
      <c r="L26" s="43">
        <v>44348</v>
      </c>
      <c r="M26" s="66" t="s">
        <v>299</v>
      </c>
      <c r="N26" s="33">
        <v>34848</v>
      </c>
      <c r="O26" s="105"/>
      <c r="P26" s="102"/>
      <c r="Q26" s="101"/>
      <c r="R26" s="19"/>
      <c r="S26" s="19"/>
    </row>
    <row r="27" spans="1:26" s="92" customFormat="1" ht="66.75" customHeight="1">
      <c r="A27" s="32">
        <v>1</v>
      </c>
      <c r="B27" s="32" t="s">
        <v>28</v>
      </c>
      <c r="C27" s="32" t="s">
        <v>74</v>
      </c>
      <c r="D27" s="32"/>
      <c r="E27" s="32"/>
      <c r="F27" s="33">
        <v>2087.9</v>
      </c>
      <c r="G27" s="32">
        <v>5.3</v>
      </c>
      <c r="H27" s="33">
        <f>'ТСЖ 1 кв.2021г.'!H23-'ТСЖ 1 кв.2021г.'!I23+'ТСЖ 2 кв.2021г. '!Y27+W27+Z27</f>
        <v>88901.090000000011</v>
      </c>
      <c r="I27" s="33">
        <f>47167.86-180.2</f>
        <v>46987.66</v>
      </c>
      <c r="J27" s="33">
        <f>'ТСЖ 1 кв.2021г.'!J23+'ТСЖ 2 кв.2021г. '!Y27</f>
        <v>910248.85999999987</v>
      </c>
      <c r="K27" s="33">
        <f>'ТСЖ 1 кв.2021г.'!K23+'ТСЖ 2 кв.2021г. '!I27</f>
        <v>868890.69000000006</v>
      </c>
      <c r="L27" s="43"/>
      <c r="M27" s="66"/>
      <c r="N27" s="33">
        <f>'ТСЖ 1 кв.2021г.'!N23+N28+N29+N30</f>
        <v>296114.17000000004</v>
      </c>
      <c r="O27" s="105">
        <f t="shared" si="4"/>
        <v>572776.52</v>
      </c>
      <c r="P27" s="78">
        <v>243907.98</v>
      </c>
      <c r="Q27" s="46">
        <f t="shared" si="3"/>
        <v>95.456388706710399</v>
      </c>
      <c r="S27" s="93">
        <f t="shared" si="1"/>
        <v>41358.169999999809</v>
      </c>
      <c r="T27" s="93">
        <f t="shared" si="2"/>
        <v>41913.430000000008</v>
      </c>
      <c r="V27" s="93">
        <f t="shared" ref="V27:V37" si="5">N27</f>
        <v>296114.17000000004</v>
      </c>
      <c r="Y27" s="92">
        <f>33221.46-20.49</f>
        <v>33200.97</v>
      </c>
      <c r="Z27" s="92">
        <v>312.48</v>
      </c>
    </row>
    <row r="28" spans="1:26" s="92" customFormat="1" ht="55.5" customHeight="1">
      <c r="A28" s="32"/>
      <c r="B28" s="32"/>
      <c r="C28" s="32"/>
      <c r="D28" s="32"/>
      <c r="E28" s="32"/>
      <c r="F28" s="32"/>
      <c r="G28" s="32"/>
      <c r="H28" s="33"/>
      <c r="I28" s="33"/>
      <c r="J28" s="33"/>
      <c r="K28" s="33"/>
      <c r="L28" s="43">
        <v>44351</v>
      </c>
      <c r="M28" s="66" t="s">
        <v>295</v>
      </c>
      <c r="N28" s="33">
        <v>17137.2</v>
      </c>
      <c r="O28" s="105"/>
      <c r="P28" s="74"/>
      <c r="Q28" s="46"/>
      <c r="S28" s="93"/>
      <c r="T28" s="93"/>
      <c r="V28" s="93"/>
    </row>
    <row r="29" spans="1:26" s="92" customFormat="1" ht="51" customHeight="1">
      <c r="A29" s="32"/>
      <c r="B29" s="32"/>
      <c r="C29" s="32"/>
      <c r="D29" s="32"/>
      <c r="E29" s="32"/>
      <c r="F29" s="32"/>
      <c r="G29" s="32"/>
      <c r="H29" s="33"/>
      <c r="I29" s="33"/>
      <c r="J29" s="33"/>
      <c r="K29" s="33"/>
      <c r="L29" s="43">
        <v>44351</v>
      </c>
      <c r="M29" s="66" t="s">
        <v>302</v>
      </c>
      <c r="N29" s="33">
        <v>7837.5</v>
      </c>
      <c r="O29" s="105"/>
      <c r="P29" s="74"/>
      <c r="Q29" s="46"/>
      <c r="S29" s="93"/>
      <c r="T29" s="93"/>
      <c r="V29" s="93"/>
    </row>
    <row r="30" spans="1:26" s="15" customFormat="1" ht="43.5" customHeight="1">
      <c r="A30" s="32"/>
      <c r="B30" s="32"/>
      <c r="C30" s="32"/>
      <c r="D30" s="32"/>
      <c r="E30" s="32"/>
      <c r="F30" s="33"/>
      <c r="G30" s="32"/>
      <c r="H30" s="33"/>
      <c r="I30" s="33"/>
      <c r="J30" s="33"/>
      <c r="K30" s="33"/>
      <c r="L30" s="43">
        <v>44348</v>
      </c>
      <c r="M30" s="66" t="s">
        <v>299</v>
      </c>
      <c r="N30" s="33">
        <v>34848</v>
      </c>
      <c r="O30" s="105"/>
      <c r="P30" s="102"/>
      <c r="Q30" s="101"/>
      <c r="R30" s="19"/>
      <c r="S30" s="19">
        <v>59822.7</v>
      </c>
    </row>
    <row r="31" spans="1:26" s="92" customFormat="1" ht="45.75" thickBot="1">
      <c r="A31" s="32">
        <v>1</v>
      </c>
      <c r="B31" s="60" t="s">
        <v>28</v>
      </c>
      <c r="C31" s="60" t="s">
        <v>34</v>
      </c>
      <c r="D31" s="60"/>
      <c r="E31" s="60"/>
      <c r="F31" s="61">
        <v>2823.8</v>
      </c>
      <c r="G31" s="60">
        <v>5.3</v>
      </c>
      <c r="H31" s="33">
        <f>'ТСЖ 1 кв.2021г.'!H24-'ТСЖ 1 кв.2021г.'!I24+'ТСЖ 2 кв.2021г. '!Y31+W31+Z31</f>
        <v>206930.35000000006</v>
      </c>
      <c r="I31" s="61">
        <f>1200+36715.68</f>
        <v>37915.68</v>
      </c>
      <c r="J31" s="33">
        <f>'ТСЖ 1 кв.2021г.'!J24+'ТСЖ 2 кв.2021г. '!Y31</f>
        <v>1230404.5399999998</v>
      </c>
      <c r="K31" s="33">
        <f>'ТСЖ 1 кв.2021г.'!K24+'ТСЖ 2 кв.2021г. '!I31</f>
        <v>1063813.2</v>
      </c>
      <c r="L31" s="72"/>
      <c r="M31" s="61"/>
      <c r="N31" s="33">
        <f>'ТСЖ 1 кв.2021г.'!N24</f>
        <v>124391</v>
      </c>
      <c r="O31" s="105">
        <f t="shared" si="4"/>
        <v>939422.2</v>
      </c>
      <c r="P31" s="44">
        <v>420551</v>
      </c>
      <c r="Q31" s="65">
        <f t="shared" si="3"/>
        <v>86.460441701556149</v>
      </c>
      <c r="S31" s="93">
        <f t="shared" si="1"/>
        <v>166591.33999999985</v>
      </c>
      <c r="T31" s="93">
        <f t="shared" si="2"/>
        <v>169014.67000000007</v>
      </c>
      <c r="V31" s="93">
        <f t="shared" si="5"/>
        <v>124391</v>
      </c>
      <c r="Y31" s="92">
        <v>44898.48</v>
      </c>
      <c r="Z31" s="92">
        <v>1459.19</v>
      </c>
    </row>
    <row r="32" spans="1:26" s="92" customFormat="1" ht="39" customHeight="1" thickBot="1">
      <c r="A32" s="32">
        <v>1</v>
      </c>
      <c r="B32" s="32" t="s">
        <v>37</v>
      </c>
      <c r="C32" s="32" t="s">
        <v>38</v>
      </c>
      <c r="D32" s="32"/>
      <c r="E32" s="32"/>
      <c r="F32" s="33">
        <v>1135</v>
      </c>
      <c r="G32" s="32">
        <v>5.3</v>
      </c>
      <c r="H32" s="33">
        <f>'ТСЖ 1 кв.2021г.'!H25-'ТСЖ 1 кв.2021г.'!I25+'ТСЖ 2 кв.2021г. '!Y32+W32+Z32</f>
        <v>51565.780000000013</v>
      </c>
      <c r="I32" s="33">
        <v>12336.13</v>
      </c>
      <c r="J32" s="33">
        <f>'ТСЖ 1 кв.2021г.'!J25+'ТСЖ 2 кв.2021г. '!Y32</f>
        <v>494317.57999999996</v>
      </c>
      <c r="K32" s="33">
        <f>'ТСЖ 1 кв.2021г.'!K25+'ТСЖ 2 кв.2021г. '!I32</f>
        <v>455481.91</v>
      </c>
      <c r="L32" s="43"/>
      <c r="M32" s="66"/>
      <c r="N32" s="33">
        <f>'ТСЖ 1 кв.2021г.'!N25</f>
        <v>248930</v>
      </c>
      <c r="O32" s="105">
        <f t="shared" si="4"/>
        <v>206551.90999999997</v>
      </c>
      <c r="P32" s="44">
        <v>146097.04999999999</v>
      </c>
      <c r="Q32" s="46">
        <f t="shared" si="3"/>
        <v>92.14357903273438</v>
      </c>
      <c r="S32" s="93">
        <f t="shared" si="1"/>
        <v>38835.669999999984</v>
      </c>
      <c r="T32" s="93">
        <f t="shared" si="2"/>
        <v>39229.650000000016</v>
      </c>
      <c r="U32" s="93"/>
      <c r="V32" s="93">
        <f t="shared" si="5"/>
        <v>248930</v>
      </c>
      <c r="Y32" s="92">
        <v>18046.5</v>
      </c>
      <c r="Z32" s="92">
        <v>254.94</v>
      </c>
    </row>
    <row r="33" spans="1:26" s="92" customFormat="1" ht="51" customHeight="1" thickBot="1">
      <c r="A33" s="32">
        <v>1</v>
      </c>
      <c r="B33" s="32" t="s">
        <v>37</v>
      </c>
      <c r="C33" s="32" t="s">
        <v>40</v>
      </c>
      <c r="D33" s="32"/>
      <c r="E33" s="32"/>
      <c r="F33" s="33">
        <v>2119.3000000000002</v>
      </c>
      <c r="G33" s="32">
        <v>5.3</v>
      </c>
      <c r="H33" s="33">
        <f>'ТСЖ 1 кв.2021г.'!H26-'ТСЖ 1 кв.2021г.'!I26+'ТСЖ 2 кв.2021г. '!Y33+W33+Z33</f>
        <v>176767.75</v>
      </c>
      <c r="I33" s="33">
        <v>49143.61</v>
      </c>
      <c r="J33" s="33">
        <f>'ТСЖ 1 кв.2021г.'!J26+'ТСЖ 2 кв.2021г. '!Y33</f>
        <v>923777.46000000008</v>
      </c>
      <c r="K33" s="33">
        <f>'ТСЖ 1 кв.2021г.'!K26+'ТСЖ 2 кв.2021г. '!I33</f>
        <v>797722.77000000014</v>
      </c>
      <c r="L33" s="43"/>
      <c r="M33" s="33"/>
      <c r="N33" s="33">
        <f>'ТСЖ 1 кв.2021г.'!N26</f>
        <v>455040</v>
      </c>
      <c r="O33" s="105">
        <f t="shared" si="4"/>
        <v>342682.77000000014</v>
      </c>
      <c r="P33" s="44">
        <v>235115.53</v>
      </c>
      <c r="Q33" s="46">
        <f>K33/J33*100</f>
        <v>86.35443107693925</v>
      </c>
      <c r="S33" s="93">
        <f t="shared" si="1"/>
        <v>126054.68999999994</v>
      </c>
      <c r="T33" s="93">
        <f t="shared" si="2"/>
        <v>127624.14</v>
      </c>
      <c r="V33" s="93">
        <f t="shared" si="5"/>
        <v>455040</v>
      </c>
      <c r="Y33" s="92">
        <v>33696.870000000003</v>
      </c>
      <c r="Z33" s="92">
        <v>938.26</v>
      </c>
    </row>
    <row r="34" spans="1:26" s="92" customFormat="1" ht="51.75" customHeight="1" thickBot="1">
      <c r="A34" s="32">
        <v>1</v>
      </c>
      <c r="B34" s="32" t="s">
        <v>28</v>
      </c>
      <c r="C34" s="32" t="s">
        <v>42</v>
      </c>
      <c r="D34" s="32"/>
      <c r="E34" s="32"/>
      <c r="F34" s="33">
        <v>2094.4</v>
      </c>
      <c r="G34" s="32">
        <v>5.3</v>
      </c>
      <c r="H34" s="33">
        <f>'ТСЖ 1 кв.2021г.'!H27-'ТСЖ 1 кв.2021г.'!I27+'ТСЖ 2 кв.2021г. '!Y34+W34+Z34</f>
        <v>156793.10999999999</v>
      </c>
      <c r="I34" s="33">
        <f>25544.86-3661.98</f>
        <v>21882.880000000001</v>
      </c>
      <c r="J34" s="33">
        <f>'ТСЖ 1 кв.2021г.'!J27+'ТСЖ 2 кв.2021г. '!Y34</f>
        <v>913576.85</v>
      </c>
      <c r="K34" s="33">
        <f>'ТСЖ 1 кв.2021г.'!K27+'ТСЖ 2 кв.2021г. '!I34</f>
        <v>780097.5</v>
      </c>
      <c r="L34" s="43"/>
      <c r="M34" s="66"/>
      <c r="N34" s="33">
        <f>'ТСЖ 1 кв.2021г.'!N27</f>
        <v>475020</v>
      </c>
      <c r="O34" s="105">
        <f t="shared" si="4"/>
        <v>305077.5</v>
      </c>
      <c r="P34" s="44">
        <v>287247.24</v>
      </c>
      <c r="Q34" s="46">
        <f>K34/J34*100</f>
        <v>85.389368174116925</v>
      </c>
      <c r="S34" s="93">
        <f t="shared" si="1"/>
        <v>133479.34999999998</v>
      </c>
      <c r="T34" s="93">
        <f t="shared" si="2"/>
        <v>134910.22999999998</v>
      </c>
      <c r="V34" s="93">
        <f t="shared" si="5"/>
        <v>475020</v>
      </c>
      <c r="Y34" s="92">
        <v>33302.550000000003</v>
      </c>
      <c r="Z34" s="92">
        <v>863.8</v>
      </c>
    </row>
    <row r="35" spans="1:26" s="92" customFormat="1" ht="51" customHeight="1" thickBot="1">
      <c r="A35" s="32">
        <v>1</v>
      </c>
      <c r="B35" s="32" t="s">
        <v>28</v>
      </c>
      <c r="C35" s="32" t="s">
        <v>31</v>
      </c>
      <c r="D35" s="32"/>
      <c r="E35" s="32"/>
      <c r="F35" s="33">
        <v>3225.6</v>
      </c>
      <c r="G35" s="32">
        <v>5.3</v>
      </c>
      <c r="H35" s="33">
        <f>'ТСЖ 1 кв.2021г.'!H28-'ТСЖ 1 кв.2021г.'!I28+'ТСЖ 2 кв.2021г. '!Y35+W35+Z35</f>
        <v>253490.95000000004</v>
      </c>
      <c r="I35" s="33">
        <f>2254.4+55515.27</f>
        <v>57769.67</v>
      </c>
      <c r="J35" s="33">
        <f>'ТСЖ 1 кв.2021г.'!J28+'ТСЖ 2 кв.2021г. '!Y35</f>
        <v>1407130.3900000001</v>
      </c>
      <c r="K35" s="33">
        <f>'ТСЖ 1 кв.2021г.'!K28+'ТСЖ 2 кв.2021г. '!I35</f>
        <v>1214333.9899999998</v>
      </c>
      <c r="L35" s="43"/>
      <c r="M35" s="33"/>
      <c r="N35" s="33">
        <f>'ТСЖ 1 кв.2021г.'!N28+N36</f>
        <v>581766.19999999995</v>
      </c>
      <c r="O35" s="105">
        <f t="shared" si="4"/>
        <v>632567.7899999998</v>
      </c>
      <c r="P35" s="44">
        <v>354498.41</v>
      </c>
      <c r="Q35" s="46">
        <f t="shared" si="3"/>
        <v>86.298611602013636</v>
      </c>
      <c r="S35" s="93">
        <f t="shared" si="1"/>
        <v>192796.40000000037</v>
      </c>
      <c r="T35" s="93">
        <f t="shared" si="2"/>
        <v>195721.28000000003</v>
      </c>
      <c r="U35" s="93"/>
      <c r="V35" s="93">
        <f t="shared" si="5"/>
        <v>581766.19999999995</v>
      </c>
      <c r="Y35" s="92">
        <v>51287.040000000001</v>
      </c>
      <c r="Z35" s="92">
        <v>1699.4</v>
      </c>
    </row>
    <row r="36" spans="1:26" s="15" customFormat="1" ht="43.5" customHeight="1">
      <c r="A36" s="32"/>
      <c r="B36" s="32"/>
      <c r="C36" s="32"/>
      <c r="D36" s="32"/>
      <c r="E36" s="32"/>
      <c r="F36" s="33"/>
      <c r="G36" s="32"/>
      <c r="H36" s="33"/>
      <c r="I36" s="33"/>
      <c r="J36" s="33"/>
      <c r="K36" s="33"/>
      <c r="L36" s="94">
        <v>44364</v>
      </c>
      <c r="M36" s="89" t="s">
        <v>304</v>
      </c>
      <c r="N36" s="33">
        <v>33058.199999999997</v>
      </c>
      <c r="O36" s="105"/>
      <c r="P36" s="102"/>
      <c r="Q36" s="101"/>
      <c r="R36" s="19"/>
      <c r="S36" s="19"/>
    </row>
    <row r="37" spans="1:26" s="49" customFormat="1" ht="45" customHeight="1" thickBot="1">
      <c r="A37" s="32">
        <v>1</v>
      </c>
      <c r="B37" s="32" t="s">
        <v>28</v>
      </c>
      <c r="C37" s="32" t="s">
        <v>33</v>
      </c>
      <c r="D37" s="32"/>
      <c r="E37" s="32"/>
      <c r="F37" s="33">
        <v>2135.5</v>
      </c>
      <c r="G37" s="32">
        <v>5.3</v>
      </c>
      <c r="H37" s="33">
        <f>'ТСЖ 1 кв.2021г.'!H29-'ТСЖ 1 кв.2021г.'!I29+'ТСЖ 2 кв.2021г. '!Y37+W37+Z37</f>
        <v>135908.43999999992</v>
      </c>
      <c r="I37" s="33">
        <f>22408.34-336.55</f>
        <v>22071.79</v>
      </c>
      <c r="J37" s="33">
        <f>'ТСЖ 1 кв.2021г.'!J29+'ТСЖ 2 кв.2021г. '!Y37</f>
        <v>931161.93999999983</v>
      </c>
      <c r="K37" s="33">
        <f>'ТСЖ 1 кв.2021г.'!K29+'ТСЖ 2 кв.2021г. '!I37</f>
        <v>818848.99000000011</v>
      </c>
      <c r="L37" s="43"/>
      <c r="M37" s="66"/>
      <c r="N37" s="33">
        <f>'ТСЖ 1 кв.2021г.'!N29+N38</f>
        <v>721587</v>
      </c>
      <c r="O37" s="105">
        <f t="shared" si="4"/>
        <v>97261.990000000107</v>
      </c>
      <c r="P37" s="44">
        <v>309141.18</v>
      </c>
      <c r="Q37" s="46">
        <f>K37/J37*100</f>
        <v>87.938408436238305</v>
      </c>
      <c r="S37" s="48">
        <f t="shared" si="1"/>
        <v>112312.94999999972</v>
      </c>
      <c r="T37" s="48">
        <f t="shared" si="2"/>
        <v>113836.64999999991</v>
      </c>
      <c r="V37" s="93">
        <f t="shared" si="5"/>
        <v>721587</v>
      </c>
      <c r="Y37" s="49">
        <f>34020.38-65.93</f>
        <v>33954.449999999997</v>
      </c>
      <c r="Z37" s="49">
        <v>901.67</v>
      </c>
    </row>
    <row r="38" spans="1:26" s="15" customFormat="1" ht="43.5" customHeight="1">
      <c r="A38" s="32"/>
      <c r="B38" s="32"/>
      <c r="C38" s="32"/>
      <c r="D38" s="32"/>
      <c r="E38" s="32"/>
      <c r="F38" s="33"/>
      <c r="G38" s="32"/>
      <c r="H38" s="33"/>
      <c r="I38" s="33"/>
      <c r="J38" s="33"/>
      <c r="K38" s="33"/>
      <c r="L38" s="94" t="s">
        <v>309</v>
      </c>
      <c r="M38" s="89" t="s">
        <v>310</v>
      </c>
      <c r="N38" s="33">
        <v>175532</v>
      </c>
      <c r="O38" s="105"/>
      <c r="P38" s="102"/>
      <c r="Q38" s="101"/>
      <c r="R38" s="19"/>
      <c r="S38" s="19"/>
    </row>
    <row r="39" spans="1:26" ht="12.75" customHeight="1">
      <c r="A39" s="2"/>
      <c r="Y39" s="100">
        <f>SUM(Y15:Y37)</f>
        <v>550240.73999999987</v>
      </c>
      <c r="Z39" s="100">
        <f>SUM(Z15:Z37)</f>
        <v>14407.8</v>
      </c>
    </row>
    <row r="40" spans="1:26" ht="15.75">
      <c r="A40" s="4" t="s">
        <v>76</v>
      </c>
      <c r="C40" s="17"/>
      <c r="D40" s="17"/>
      <c r="E40" s="17"/>
      <c r="F40" s="17"/>
      <c r="G40" s="17"/>
      <c r="H40" s="17"/>
      <c r="I40" s="26"/>
    </row>
    <row r="41" spans="1:26" ht="15" customHeight="1">
      <c r="A41" s="2"/>
      <c r="B41" s="107" t="s">
        <v>164</v>
      </c>
      <c r="C41" s="202" t="s">
        <v>293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26" hidden="1">
      <c r="A42" s="2"/>
      <c r="B42" s="108" t="s">
        <v>165</v>
      </c>
      <c r="C42" s="202" t="s">
        <v>303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1:26" hidden="1">
      <c r="A43" s="2"/>
      <c r="B43" s="108" t="s">
        <v>166</v>
      </c>
      <c r="C43" s="202" t="s">
        <v>305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</row>
    <row r="44" spans="1:26" hidden="1">
      <c r="A44" s="2"/>
      <c r="B44" s="108" t="s">
        <v>167</v>
      </c>
      <c r="C44" s="202" t="s">
        <v>306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</row>
    <row r="45" spans="1:26" ht="15.75" hidden="1" customHeight="1">
      <c r="A45" s="2"/>
      <c r="B45" s="108" t="s">
        <v>168</v>
      </c>
      <c r="C45" s="202" t="s">
        <v>307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</row>
    <row r="46" spans="1:26" ht="15.75" hidden="1" customHeight="1">
      <c r="A46" s="2"/>
      <c r="B46" s="108" t="s">
        <v>171</v>
      </c>
      <c r="C46" s="202" t="s">
        <v>308</v>
      </c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</row>
    <row r="47" spans="1:26" ht="15.75" hidden="1" customHeight="1">
      <c r="A47" s="2"/>
      <c r="B47" s="75" t="s">
        <v>176</v>
      </c>
      <c r="C47" s="202" t="s">
        <v>300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</row>
    <row r="48" spans="1:26" ht="15" hidden="1" customHeight="1">
      <c r="A48" s="2"/>
      <c r="B48" s="75" t="s">
        <v>177</v>
      </c>
      <c r="C48" s="202" t="s">
        <v>301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</row>
    <row r="49" spans="1:15" ht="15.75">
      <c r="A49" s="2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s="27" customFormat="1" ht="15.75">
      <c r="A50" s="4" t="str">
        <f>'УК 2кв. 2021г.'!A34</f>
        <v>05 июля 2021 г.</v>
      </c>
      <c r="I50" s="28"/>
    </row>
    <row r="51" spans="1:15" s="27" customFormat="1" ht="15.75">
      <c r="A51" s="4"/>
      <c r="I51" s="28"/>
    </row>
    <row r="52" spans="1:15" s="27" customFormat="1" ht="15.75">
      <c r="A52" s="4"/>
      <c r="I52" s="28"/>
    </row>
    <row r="53" spans="1:15" s="27" customFormat="1" ht="15.75">
      <c r="A53" s="4" t="s">
        <v>47</v>
      </c>
      <c r="I53" s="28"/>
    </row>
    <row r="54" spans="1:15" s="27" customFormat="1" ht="15.75" hidden="1">
      <c r="A54" s="30" t="s">
        <v>48</v>
      </c>
      <c r="I54" s="28"/>
    </row>
    <row r="55" spans="1:15">
      <c r="A55" s="1"/>
    </row>
    <row r="56" spans="1:15">
      <c r="A56" s="1"/>
      <c r="K56" s="3"/>
    </row>
    <row r="57" spans="1:15">
      <c r="A57" s="1"/>
    </row>
    <row r="58" spans="1:15">
      <c r="A58" s="1"/>
    </row>
    <row r="59" spans="1:15">
      <c r="A59" s="1"/>
    </row>
    <row r="60" spans="1:15">
      <c r="A60" s="1"/>
    </row>
    <row r="61" spans="1:15">
      <c r="A61" s="1"/>
    </row>
    <row r="62" spans="1:15">
      <c r="A62" s="1"/>
    </row>
    <row r="63" spans="1:15">
      <c r="A63" s="1"/>
    </row>
    <row r="64" spans="1:15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</sheetData>
  <mergeCells count="32">
    <mergeCell ref="Q11:Q13"/>
    <mergeCell ref="H12:H13"/>
    <mergeCell ref="I12:I13"/>
    <mergeCell ref="J12:J13"/>
    <mergeCell ref="K12:K13"/>
    <mergeCell ref="L12:L13"/>
    <mergeCell ref="M12:M13"/>
    <mergeCell ref="N12:N13"/>
    <mergeCell ref="H11:I11"/>
    <mergeCell ref="J11:K11"/>
    <mergeCell ref="L11:N11"/>
    <mergeCell ref="O11:O13"/>
    <mergeCell ref="A1:Q1"/>
    <mergeCell ref="A2:Q2"/>
    <mergeCell ref="A3:O3"/>
    <mergeCell ref="D5:M5"/>
    <mergeCell ref="D8:L8"/>
    <mergeCell ref="C47:O47"/>
    <mergeCell ref="C48:O48"/>
    <mergeCell ref="A11:A13"/>
    <mergeCell ref="B11:B13"/>
    <mergeCell ref="C11:C13"/>
    <mergeCell ref="D11:D13"/>
    <mergeCell ref="E11:E13"/>
    <mergeCell ref="C45:O45"/>
    <mergeCell ref="F11:F13"/>
    <mergeCell ref="G11:G13"/>
    <mergeCell ref="C41:O41"/>
    <mergeCell ref="C42:O42"/>
    <mergeCell ref="C43:O43"/>
    <mergeCell ref="C44:O44"/>
    <mergeCell ref="C46:O46"/>
  </mergeCells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topLeftCell="A4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2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2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2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2" ht="15.75">
      <c r="A4" s="158" t="s">
        <v>279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2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2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2" ht="15.75">
      <c r="A7" s="1" t="s">
        <v>7</v>
      </c>
      <c r="D7" s="18" t="s">
        <v>51</v>
      </c>
      <c r="E7" s="17"/>
      <c r="F7" s="17"/>
      <c r="G7" s="17"/>
      <c r="H7" s="17"/>
    </row>
    <row r="8" spans="1:22">
      <c r="A8" s="1" t="s">
        <v>8</v>
      </c>
    </row>
    <row r="9" spans="1:22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2" ht="15.75">
      <c r="A10" s="18" t="s">
        <v>61</v>
      </c>
    </row>
    <row r="11" spans="1:22" ht="15.75">
      <c r="A11" s="18" t="s">
        <v>62</v>
      </c>
    </row>
    <row r="12" spans="1:22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2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2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</row>
    <row r="15" spans="1:22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2" s="15" customFormat="1" ht="30">
      <c r="A16" s="32">
        <v>1</v>
      </c>
      <c r="B16" s="32" t="s">
        <v>28</v>
      </c>
      <c r="C16" s="103" t="s">
        <v>52</v>
      </c>
      <c r="D16" s="32">
        <v>2001</v>
      </c>
      <c r="E16" s="32"/>
      <c r="F16" s="33">
        <v>9312.5</v>
      </c>
      <c r="G16" s="32">
        <v>5.3</v>
      </c>
      <c r="H16" s="33">
        <f>'УК 4 кв. 2020г.'!H16-'УК 4 кв. 2020г.'!I16+V16</f>
        <v>337820.05999999994</v>
      </c>
      <c r="I16" s="33">
        <v>165298.06</v>
      </c>
      <c r="J16" s="33">
        <f>'УК 4 кв. 2020г.'!J16+'УК 1кв. 2021г.'!V16</f>
        <v>3848775.7599999993</v>
      </c>
      <c r="K16" s="33">
        <f>'УК 4 кв. 2020г.'!K16+'УК 1кв. 2021г.'!I16</f>
        <v>3757030.4499999997</v>
      </c>
      <c r="L16" s="64"/>
      <c r="M16" s="47"/>
      <c r="N16" s="33">
        <f>'УК 4 кв. 2020г.'!N16</f>
        <v>894970.86</v>
      </c>
      <c r="O16" s="33">
        <f>K16-N16</f>
        <v>2862059.59</v>
      </c>
      <c r="P16" s="102">
        <f t="shared" ref="P16:P21" si="0">K16/J16*100</f>
        <v>97.616246938740858</v>
      </c>
      <c r="R16" s="19">
        <f>J16-K16</f>
        <v>91745.30999999959</v>
      </c>
      <c r="S16" s="19">
        <f>H16-I16</f>
        <v>172521.99999999994</v>
      </c>
      <c r="V16" s="15">
        <f>148068.78+1472.66</f>
        <v>149541.44</v>
      </c>
    </row>
    <row r="17" spans="1:22" s="15" customFormat="1" ht="48.75" customHeight="1">
      <c r="A17" s="32">
        <v>1</v>
      </c>
      <c r="B17" s="32" t="s">
        <v>28</v>
      </c>
      <c r="C17" s="103" t="s">
        <v>57</v>
      </c>
      <c r="D17" s="32">
        <v>2011</v>
      </c>
      <c r="E17" s="32"/>
      <c r="F17" s="32" t="s">
        <v>58</v>
      </c>
      <c r="G17" s="32">
        <v>7.32</v>
      </c>
      <c r="H17" s="33">
        <f>'УК 4 кв. 2020г.'!H17-'УК 4 кв. 2020г.'!I17+V17</f>
        <v>112744.38</v>
      </c>
      <c r="I17" s="33">
        <f>68429.73+690.18</f>
        <v>69119.909999999989</v>
      </c>
      <c r="J17" s="33">
        <f>'УК 4 кв. 2020г.'!J17+'УК 1кв. 2021г.'!V17</f>
        <v>1018346.05</v>
      </c>
      <c r="K17" s="33">
        <f>'УК 4 кв. 2020г.'!K17+'УК 1кв. 2021г.'!I17</f>
        <v>974721.58000000007</v>
      </c>
      <c r="L17" s="32"/>
      <c r="M17" s="32"/>
      <c r="N17" s="33">
        <f>'УК 4 кв. 2020г.'!N17</f>
        <v>0</v>
      </c>
      <c r="O17" s="33">
        <f>K17-N17</f>
        <v>974721.58000000007</v>
      </c>
      <c r="P17" s="102">
        <f t="shared" si="0"/>
        <v>95.716144821301171</v>
      </c>
      <c r="R17" s="19">
        <f>J17-K17</f>
        <v>43624.469999999972</v>
      </c>
      <c r="S17" s="19">
        <f>H17-I17</f>
        <v>43624.470000000016</v>
      </c>
      <c r="V17" s="15">
        <f>67720.32+397.98</f>
        <v>68118.3</v>
      </c>
    </row>
    <row r="18" spans="1:22" s="15" customFormat="1" ht="42" customHeight="1">
      <c r="A18" s="32">
        <v>1</v>
      </c>
      <c r="B18" s="32" t="s">
        <v>28</v>
      </c>
      <c r="C18" s="103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4 кв. 2020г.'!H18-'УК 4 кв. 2020г.'!I18+V18</f>
        <v>530745.49</v>
      </c>
      <c r="I18" s="33">
        <f>89034.1+6895.59</f>
        <v>95929.69</v>
      </c>
      <c r="J18" s="33">
        <f>'УК 4 кв. 2020г.'!J18+'УК 1кв. 2021г.'!V18</f>
        <v>1421208.24</v>
      </c>
      <c r="K18" s="33">
        <f>'УК 4 кв. 2020г.'!K18+'УК 1кв. 2021г.'!I18</f>
        <v>986392.44</v>
      </c>
      <c r="L18" s="34"/>
      <c r="M18" s="89"/>
      <c r="N18" s="33">
        <f>'УК 4 кв. 2020г.'!N18</f>
        <v>150967</v>
      </c>
      <c r="O18" s="33">
        <f>K18-N18</f>
        <v>835425.44</v>
      </c>
      <c r="P18" s="102">
        <f t="shared" si="0"/>
        <v>69.405201309556148</v>
      </c>
      <c r="R18" s="19">
        <f>J18-K18</f>
        <v>434815.80000000005</v>
      </c>
      <c r="S18" s="19">
        <f>H18-I18</f>
        <v>434815.8</v>
      </c>
      <c r="V18" s="15">
        <f>4891.59+55277.73</f>
        <v>60169.320000000007</v>
      </c>
    </row>
    <row r="19" spans="1:22" s="15" customFormat="1" ht="48.75" customHeight="1">
      <c r="A19" s="32">
        <v>1</v>
      </c>
      <c r="B19" s="32" t="s">
        <v>28</v>
      </c>
      <c r="C19" s="103" t="s">
        <v>92</v>
      </c>
      <c r="D19" s="32">
        <v>2012</v>
      </c>
      <c r="E19" s="32"/>
      <c r="F19" s="33">
        <v>2729.9</v>
      </c>
      <c r="G19" s="32">
        <v>7.32</v>
      </c>
      <c r="H19" s="33">
        <f>'УК 4 кв. 2020г.'!H19-'УК 4 кв. 2020г.'!I19+V19</f>
        <v>259386.56999999992</v>
      </c>
      <c r="I19" s="33">
        <f>47597.79+27.24</f>
        <v>47625.03</v>
      </c>
      <c r="J19" s="33">
        <f>'УК 4 кв. 2020г.'!J19+'УК 1кв. 2021г.'!V19</f>
        <v>1614154.5399999998</v>
      </c>
      <c r="K19" s="33">
        <f>'УК 4 кв. 2020г.'!K19+'УК 1кв. 2021г.'!I19</f>
        <v>1402393</v>
      </c>
      <c r="L19" s="43"/>
      <c r="M19" s="91"/>
      <c r="N19" s="33">
        <f>'УК 4 кв. 2020г.'!N19</f>
        <v>104440.4</v>
      </c>
      <c r="O19" s="33">
        <f t="shared" ref="O19:O21" si="1">K19-N19</f>
        <v>1297952.6000000001</v>
      </c>
      <c r="P19" s="102">
        <f t="shared" si="0"/>
        <v>86.880962463482589</v>
      </c>
      <c r="R19" s="19">
        <f>J19-K19</f>
        <v>211761.5399999998</v>
      </c>
      <c r="S19" s="19">
        <f t="shared" ref="S19:S20" si="2">H19-I19</f>
        <v>211761.53999999992</v>
      </c>
      <c r="U19" s="19"/>
      <c r="V19" s="19">
        <f>1982.82+59948.61</f>
        <v>61931.43</v>
      </c>
    </row>
    <row r="20" spans="1:22">
      <c r="A20" s="32">
        <v>1</v>
      </c>
      <c r="B20" s="32" t="s">
        <v>28</v>
      </c>
      <c r="C20" s="103" t="s">
        <v>152</v>
      </c>
      <c r="D20" s="32">
        <v>2007</v>
      </c>
      <c r="E20" s="32"/>
      <c r="F20" s="33">
        <v>2918.7</v>
      </c>
      <c r="G20" s="32">
        <v>7.32</v>
      </c>
      <c r="H20" s="33">
        <f>'УК 4 кв. 2020г.'!H20-'УК 4 кв. 2020г.'!I20+V20</f>
        <v>363233.93999999989</v>
      </c>
      <c r="I20" s="33">
        <f>66457.21+409.08+1027</f>
        <v>67893.290000000008</v>
      </c>
      <c r="J20" s="33">
        <f>'УК 4 кв. 2020г.'!J20+'УК 1кв. 2021г.'!V20</f>
        <v>2090596.2199999997</v>
      </c>
      <c r="K20" s="33">
        <f>'УК 4 кв. 2020г.'!K20+'УК 1кв. 2021г.'!I20</f>
        <v>1415997.4100000001</v>
      </c>
      <c r="L20" s="32"/>
      <c r="M20" s="32"/>
      <c r="N20" s="33">
        <f>'УК 4 кв. 2020г.'!N20</f>
        <v>327173</v>
      </c>
      <c r="O20" s="33">
        <f t="shared" si="1"/>
        <v>1088824.4100000001</v>
      </c>
      <c r="P20" s="102">
        <f t="shared" si="0"/>
        <v>67.731750227693439</v>
      </c>
      <c r="R20" s="19">
        <f>J20-K20</f>
        <v>674598.80999999959</v>
      </c>
      <c r="S20" s="19">
        <f t="shared" si="2"/>
        <v>295340.64999999991</v>
      </c>
      <c r="V20" s="13">
        <f>3175.89+64094.67</f>
        <v>67270.559999999998</v>
      </c>
    </row>
    <row r="21" spans="1:22" ht="30">
      <c r="A21" s="32">
        <v>1</v>
      </c>
      <c r="B21" s="32" t="s">
        <v>28</v>
      </c>
      <c r="C21" s="103" t="s">
        <v>274</v>
      </c>
      <c r="D21" s="32">
        <v>2018</v>
      </c>
      <c r="E21" s="32"/>
      <c r="F21" s="33">
        <v>4764.6000000000004</v>
      </c>
      <c r="G21" s="32">
        <v>7.32</v>
      </c>
      <c r="H21" s="33">
        <f>'УК 4 кв. 2020г.'!H21-'УК 4 кв. 2020г.'!I21+V21</f>
        <v>170889.92</v>
      </c>
      <c r="I21" s="33">
        <f>62785.69+11.51</f>
        <v>62797.200000000004</v>
      </c>
      <c r="J21" s="33">
        <f>'УК 4 кв. 2020г.'!J21+'УК 1кв. 2021г.'!V21</f>
        <v>209625.95</v>
      </c>
      <c r="K21" s="33">
        <f>'УК 4 кв. 2020г.'!K21+'УК 1кв. 2021г.'!I21</f>
        <v>101533.23000000001</v>
      </c>
      <c r="L21" s="32"/>
      <c r="M21" s="32"/>
      <c r="N21" s="33">
        <f>'УК 4 кв. 2020г.'!N21</f>
        <v>0</v>
      </c>
      <c r="O21" s="33">
        <f t="shared" si="1"/>
        <v>101533.23000000001</v>
      </c>
      <c r="P21" s="102">
        <f t="shared" si="0"/>
        <v>48.435429869250449</v>
      </c>
      <c r="R21" s="19"/>
      <c r="S21" s="19"/>
      <c r="V21" s="13">
        <f>364.97+104630.49</f>
        <v>104995.46</v>
      </c>
    </row>
    <row r="22" spans="1:22">
      <c r="A22" s="67"/>
      <c r="B22" s="67"/>
      <c r="C22" s="67"/>
      <c r="D22" s="67"/>
      <c r="E22" s="67"/>
      <c r="F22" s="68"/>
      <c r="G22" s="67"/>
      <c r="H22" s="68"/>
      <c r="I22" s="68"/>
      <c r="J22" s="68"/>
      <c r="K22" s="68"/>
      <c r="L22" s="67"/>
      <c r="M22" s="67"/>
      <c r="N22" s="67"/>
      <c r="O22" s="68"/>
      <c r="P22" s="63"/>
    </row>
    <row r="23" spans="1:22" s="17" customFormat="1" ht="15.75">
      <c r="A23" s="4" t="s">
        <v>64</v>
      </c>
      <c r="C23" s="90"/>
      <c r="D23" s="90"/>
      <c r="E23" s="90"/>
      <c r="F23" s="90"/>
      <c r="G23" s="90"/>
      <c r="H23" s="90"/>
      <c r="I23" s="90"/>
      <c r="J23" s="90"/>
      <c r="K23" s="90"/>
      <c r="L23" s="4"/>
      <c r="P23" s="62"/>
    </row>
    <row r="24" spans="1:22" s="17" customFormat="1" ht="15.75">
      <c r="A24" s="4"/>
      <c r="C24" s="90" t="s">
        <v>280</v>
      </c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13" t="s">
        <v>281</v>
      </c>
      <c r="D25" s="13"/>
      <c r="E25" s="13"/>
      <c r="F25" s="13"/>
      <c r="G25" s="13"/>
      <c r="H25" s="13"/>
      <c r="I25" s="13"/>
      <c r="J25" s="13"/>
      <c r="K25" s="13"/>
      <c r="P25" s="62"/>
    </row>
    <row r="26" spans="1:22" s="17" customFormat="1" ht="15.75">
      <c r="A26" s="4"/>
      <c r="C26" s="13"/>
      <c r="D26" s="13"/>
      <c r="E26" s="13"/>
      <c r="F26" s="13"/>
      <c r="G26" s="13"/>
      <c r="H26" s="13"/>
      <c r="I26" s="13"/>
      <c r="J26" s="13"/>
      <c r="K26" s="13"/>
      <c r="P26" s="62"/>
    </row>
    <row r="27" spans="1:22" s="17" customFormat="1" ht="15.75">
      <c r="A27" s="4"/>
      <c r="C27" s="13"/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 t="s">
        <v>282</v>
      </c>
      <c r="P28" s="62"/>
    </row>
    <row r="29" spans="1:22" s="17" customFormat="1" ht="15.75">
      <c r="A29" s="4" t="s">
        <v>59</v>
      </c>
      <c r="P29" s="62"/>
    </row>
    <row r="30" spans="1:22" s="17" customFormat="1" ht="15.75">
      <c r="A30" s="4"/>
      <c r="P30" s="62"/>
    </row>
    <row r="31" spans="1:22">
      <c r="A31" s="2" t="s">
        <v>48</v>
      </c>
    </row>
  </sheetData>
  <mergeCells count="25"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</mergeCells>
  <pageMargins left="0.78740157480314965" right="0.39370078740157483" top="0.39370078740157483" bottom="0.35433070866141736" header="0.31496062992125984" footer="0.31496062992125984"/>
  <pageSetup paperSize="9" scale="6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5"/>
  <sheetViews>
    <sheetView topLeftCell="A2" workbookViewId="0">
      <selection activeCell="H23" sqref="H23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6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6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6" s="13" customFormat="1" ht="15.75">
      <c r="A3" s="187" t="str">
        <f>'УК 1кв. 2021г.'!A4:O4</f>
        <v xml:space="preserve">по состоянию за 1 квартал 2021 года на 01 апреля 2021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6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6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6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6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6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6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6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6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6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6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6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4 кв.2020г.'!H15-'ТСЖ 4 кв.2020г.'!I15+'ТСЖ 1 кв.2021г.'!Y15+W15+Z15</f>
        <v>385954.77</v>
      </c>
      <c r="I15" s="33">
        <f>88340.11+205.1+W15</f>
        <v>90575.07</v>
      </c>
      <c r="J15" s="33">
        <f>'ТСЖ 4 кв.2020г.'!J15+'ТСЖ 1 кв.2021г.'!Y15</f>
        <v>1996698.56</v>
      </c>
      <c r="K15" s="33">
        <f>'ТСЖ 4 кв.2020г.'!K15+'ТСЖ 1 кв.2021г.'!I15</f>
        <v>1710548.33</v>
      </c>
      <c r="L15" s="43"/>
      <c r="M15" s="66"/>
      <c r="N15" s="33">
        <f>'ТСЖ 4 кв.2020г.'!N15</f>
        <v>426357.21</v>
      </c>
      <c r="O15" s="33">
        <f>K15-V15</f>
        <v>1284191.1200000001</v>
      </c>
      <c r="P15" s="74">
        <v>520817.08</v>
      </c>
      <c r="Q15" s="46">
        <f>K15/J15*100</f>
        <v>85.668831753952887</v>
      </c>
      <c r="S15" s="48">
        <f>J15-K15+W15</f>
        <v>288180.08999999997</v>
      </c>
      <c r="T15" s="48">
        <f>H15-I15</f>
        <v>295379.7</v>
      </c>
      <c r="V15" s="48">
        <v>426357.21</v>
      </c>
      <c r="W15" s="49">
        <f>1489.15+540.71</f>
        <v>2029.8600000000001</v>
      </c>
      <c r="Y15" s="49">
        <v>75529.77</v>
      </c>
      <c r="Z15" s="49">
        <v>1419.95</v>
      </c>
    </row>
    <row r="16" spans="1:26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4 кв.2020г.'!H16-'ТСЖ 4 кв.2020г.'!I16+'ТСЖ 1 кв.2021г.'!Y16+W16+Z16</f>
        <v>100675.08</v>
      </c>
      <c r="I16" s="33">
        <f>47959.96+297.26</f>
        <v>48257.22</v>
      </c>
      <c r="J16" s="33">
        <f>'ТСЖ 4 кв.2020г.'!J16+'ТСЖ 1 кв.2021г.'!Y16</f>
        <v>800714.55000000016</v>
      </c>
      <c r="K16" s="33">
        <f>'ТСЖ 4 кв.2020г.'!K16+'ТСЖ 1 кв.2021г.'!I16</f>
        <v>748650.47</v>
      </c>
      <c r="L16" s="43"/>
      <c r="M16" s="66"/>
      <c r="N16" s="33">
        <f>'ТСЖ 4 кв.2020г.'!N16</f>
        <v>221688.82</v>
      </c>
      <c r="O16" s="33">
        <f t="shared" ref="O16:O18" si="0">K16-V16</f>
        <v>526961.64999999991</v>
      </c>
      <c r="P16" s="78">
        <v>264064.82</v>
      </c>
      <c r="Q16" s="46">
        <f>K16/J16*100</f>
        <v>93.497797685829468</v>
      </c>
      <c r="S16" s="48">
        <f t="shared" ref="S16:S29" si="1">J16-K16+W16</f>
        <v>52064.080000000191</v>
      </c>
      <c r="T16" s="48">
        <f t="shared" ref="T16:T29" si="2">H16-I16</f>
        <v>52417.86</v>
      </c>
      <c r="V16" s="48">
        <v>221688.82</v>
      </c>
      <c r="Y16" s="49">
        <v>30349.919999999998</v>
      </c>
      <c r="Z16" s="49">
        <v>353.78</v>
      </c>
    </row>
    <row r="17" spans="1:26" s="49" customFormat="1" ht="30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4 кв.2020г.'!H17-'ТСЖ 4 кв.2020г.'!I17+'ТСЖ 1 кв.2021г.'!Y17+W17+Z17</f>
        <v>180562.96000000002</v>
      </c>
      <c r="I17" s="61">
        <f>39675.56+175.17</f>
        <v>39850.729999999996</v>
      </c>
      <c r="J17" s="33">
        <f>'ТСЖ 4 кв.2020г.'!J17+'ТСЖ 1 кв.2021г.'!Y17</f>
        <v>820203.81999999972</v>
      </c>
      <c r="K17" s="33">
        <f>'ТСЖ 4 кв.2020г.'!K17+'ТСЖ 1 кв.2021г.'!I17</f>
        <v>680204.58</v>
      </c>
      <c r="L17" s="72"/>
      <c r="M17" s="73"/>
      <c r="N17" s="33">
        <f>'ТСЖ 4 кв.2020г.'!N17</f>
        <v>476040</v>
      </c>
      <c r="O17" s="61">
        <f t="shared" si="0"/>
        <v>204164.57999999996</v>
      </c>
      <c r="P17" s="74">
        <v>253163.82</v>
      </c>
      <c r="Q17" s="65">
        <f>K17/J17*100</f>
        <v>82.93116459759969</v>
      </c>
      <c r="S17" s="48">
        <f t="shared" si="1"/>
        <v>139999.23999999976</v>
      </c>
      <c r="T17" s="48">
        <f t="shared" si="2"/>
        <v>140712.23000000004</v>
      </c>
      <c r="V17" s="48">
        <v>476040</v>
      </c>
      <c r="Y17" s="49">
        <v>30962.07</v>
      </c>
      <c r="Z17" s="49">
        <v>712.99</v>
      </c>
    </row>
    <row r="18" spans="1:26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4 кв.2020г.'!H18-'ТСЖ 4 кв.2020г.'!I18+'ТСЖ 1 кв.2021г.'!Y18+W18+Z18</f>
        <v>260060.63000000006</v>
      </c>
      <c r="I18" s="61">
        <v>43563.519999999997</v>
      </c>
      <c r="J18" s="33">
        <f>'ТСЖ 4 кв.2020г.'!J18+'ТСЖ 1 кв.2021г.'!Y18</f>
        <v>1254402.1599999997</v>
      </c>
      <c r="K18" s="33">
        <f>'ТСЖ 4 кв.2020г.'!K18+'ТСЖ 1 кв.2021г.'!I18</f>
        <v>1038911.4</v>
      </c>
      <c r="L18" s="72"/>
      <c r="M18" s="73"/>
      <c r="N18" s="33">
        <f>'ТСЖ 4 кв.2020г.'!N18</f>
        <v>731630</v>
      </c>
      <c r="O18" s="33">
        <f t="shared" si="0"/>
        <v>307281.40000000002</v>
      </c>
      <c r="P18" s="44">
        <v>378042.71</v>
      </c>
      <c r="Q18" s="65">
        <f t="shared" ref="Q18:Q28" si="3">K18/J18*100</f>
        <v>82.821238126694567</v>
      </c>
      <c r="S18" s="48">
        <f t="shared" si="1"/>
        <v>215490.75999999966</v>
      </c>
      <c r="T18" s="48">
        <f t="shared" si="2"/>
        <v>216497.11000000007</v>
      </c>
      <c r="V18" s="48">
        <v>731630</v>
      </c>
      <c r="Y18" s="49">
        <v>47437.65</v>
      </c>
      <c r="Z18" s="49">
        <v>1006.35</v>
      </c>
    </row>
    <row r="19" spans="1:26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4 кв.2020г.'!H19-'ТСЖ 4 кв.2020г.'!I19+'ТСЖ 1 кв.2021г.'!Y19+W19+Z19</f>
        <v>133003.50999999998</v>
      </c>
      <c r="I19" s="33">
        <v>23173.439999999999</v>
      </c>
      <c r="J19" s="33">
        <f>'ТСЖ 4 кв.2020г.'!J19+'ТСЖ 1 кв.2021г.'!Y19</f>
        <v>714801.73999999987</v>
      </c>
      <c r="K19" s="33">
        <f>'ТСЖ 4 кв.2020г.'!K19+'ТСЖ 1 кв.2021г.'!I19</f>
        <v>605499.03</v>
      </c>
      <c r="L19" s="43"/>
      <c r="M19" s="66"/>
      <c r="N19" s="33">
        <f>'ТСЖ 4 кв.2020г.'!N19</f>
        <v>230810</v>
      </c>
      <c r="O19" s="33">
        <f>K19-N19</f>
        <v>374689.03</v>
      </c>
      <c r="P19" s="44">
        <v>252978.03</v>
      </c>
      <c r="Q19" s="46">
        <f>K19/J19*100</f>
        <v>84.708667609007236</v>
      </c>
      <c r="S19" s="93">
        <f t="shared" si="1"/>
        <v>109302.70999999985</v>
      </c>
      <c r="T19" s="93">
        <f t="shared" si="2"/>
        <v>109830.06999999998</v>
      </c>
      <c r="V19" s="93">
        <v>230810</v>
      </c>
      <c r="Y19" s="92">
        <v>27025.23</v>
      </c>
      <c r="Z19" s="92">
        <v>527.36</v>
      </c>
    </row>
    <row r="20" spans="1:26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4 кв.2020г.'!H20-'ТСЖ 4 кв.2020г.'!I20+'ТСЖ 1 кв.2021г.'!Y20+W20+Z20</f>
        <v>82590.040000000008</v>
      </c>
      <c r="I20" s="33">
        <f>19650.31-0.45</f>
        <v>19649.86</v>
      </c>
      <c r="J20" s="33">
        <f>'ТСЖ 4 кв.2020г.'!J20+'ТСЖ 1 кв.2021г.'!Y20</f>
        <v>499584.6999999999</v>
      </c>
      <c r="K20" s="33">
        <f>'ТСЖ 4 кв.2020г.'!K20+'ТСЖ 1 кв.2021г.'!I20</f>
        <v>436942.64</v>
      </c>
      <c r="L20" s="43"/>
      <c r="M20" s="66"/>
      <c r="N20" s="33">
        <f>'ТСЖ 4 кв.2020г.'!N20</f>
        <v>208003.99</v>
      </c>
      <c r="O20" s="33">
        <f t="shared" ref="O20:O29" si="4">K20-N20</f>
        <v>228938.65000000002</v>
      </c>
      <c r="P20" s="74">
        <v>124839.69</v>
      </c>
      <c r="Q20" s="46">
        <f t="shared" si="3"/>
        <v>87.461173250501886</v>
      </c>
      <c r="S20" s="93">
        <f t="shared" si="1"/>
        <v>62642.059999999881</v>
      </c>
      <c r="T20" s="93">
        <f t="shared" si="2"/>
        <v>62940.180000000008</v>
      </c>
      <c r="V20" s="93">
        <v>208003.99</v>
      </c>
      <c r="Y20" s="92">
        <v>18905.099999999999</v>
      </c>
      <c r="Z20" s="92">
        <v>298.12</v>
      </c>
    </row>
    <row r="21" spans="1:26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4 кв.2020г.'!H21-'ТСЖ 4 кв.2020г.'!I21+'ТСЖ 1 кв.2021г.'!Y21+W21+Z21</f>
        <v>154489.31999999995</v>
      </c>
      <c r="I21" s="61">
        <f>42762.14+7.57</f>
        <v>42769.71</v>
      </c>
      <c r="J21" s="33">
        <f>'ТСЖ 4 кв.2020г.'!J21+'ТСЖ 1 кв.2021г.'!Y21</f>
        <v>1013661.81</v>
      </c>
      <c r="K21" s="33">
        <f>'ТСЖ 4 кв.2020г.'!K21+'ТСЖ 1 кв.2021г.'!I21</f>
        <v>902424.1599999998</v>
      </c>
      <c r="L21" s="72"/>
      <c r="M21" s="61"/>
      <c r="N21" s="33">
        <f>'ТСЖ 4 кв.2020г.'!N21</f>
        <v>0</v>
      </c>
      <c r="O21" s="61">
        <f t="shared" si="4"/>
        <v>902424.1599999998</v>
      </c>
      <c r="P21" s="44">
        <v>388089.32</v>
      </c>
      <c r="Q21" s="65">
        <f t="shared" si="3"/>
        <v>89.026157550514768</v>
      </c>
      <c r="S21" s="93">
        <f t="shared" si="1"/>
        <v>111237.65000000026</v>
      </c>
      <c r="T21" s="93">
        <f t="shared" si="2"/>
        <v>111719.60999999996</v>
      </c>
      <c r="Y21" s="92">
        <v>38605.53</v>
      </c>
      <c r="Z21" s="92">
        <v>481.96</v>
      </c>
    </row>
    <row r="22" spans="1:26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4 кв.2020г.'!H22-'ТСЖ 4 кв.2020г.'!I22+'ТСЖ 1 кв.2021г.'!Y22+W22+Z22</f>
        <v>96530.980000000025</v>
      </c>
      <c r="I22" s="33">
        <f>35495.58+0.22</f>
        <v>35495.800000000003</v>
      </c>
      <c r="J22" s="33">
        <f>'ТСЖ 4 кв.2020г.'!J22+'ТСЖ 1 кв.2021г.'!Y22</f>
        <v>872664.2699999999</v>
      </c>
      <c r="K22" s="33">
        <f>'ТСЖ 4 кв.2020г.'!K22+'ТСЖ 1 кв.2021г.'!I22</f>
        <v>812115.41</v>
      </c>
      <c r="L22" s="43"/>
      <c r="M22" s="66"/>
      <c r="N22" s="33">
        <f>'ТСЖ 4 кв.2020г.'!N22</f>
        <v>236291.47</v>
      </c>
      <c r="O22" s="33">
        <f t="shared" si="4"/>
        <v>575823.94000000006</v>
      </c>
      <c r="P22" s="74">
        <v>223464.31</v>
      </c>
      <c r="Q22" s="46">
        <f>K22/J22*100</f>
        <v>93.061608904877019</v>
      </c>
      <c r="S22" s="93">
        <f t="shared" si="1"/>
        <v>60548.85999999987</v>
      </c>
      <c r="T22" s="93">
        <f t="shared" si="2"/>
        <v>61035.180000000022</v>
      </c>
      <c r="V22" s="93">
        <f>N22</f>
        <v>236291.47</v>
      </c>
      <c r="Y22" s="92">
        <v>33038.61</v>
      </c>
      <c r="Z22" s="92">
        <v>486.32</v>
      </c>
    </row>
    <row r="23" spans="1:26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4 кв.2020г.'!H23-'ТСЖ 4 кв.2020г.'!I23+'ТСЖ 1 кв.2021г.'!Y23+W23+Z23</f>
        <v>90099.190000000017</v>
      </c>
      <c r="I23" s="33">
        <f>34356.42+174.93+180.2</f>
        <v>34711.549999999996</v>
      </c>
      <c r="J23" s="33">
        <f>'ТСЖ 4 кв.2020г.'!J23+'ТСЖ 1 кв.2021г.'!Y23</f>
        <v>877047.8899999999</v>
      </c>
      <c r="K23" s="33">
        <f>'ТСЖ 4 кв.2020г.'!K23+'ТСЖ 1 кв.2021г.'!I23</f>
        <v>821903.03</v>
      </c>
      <c r="L23" s="43"/>
      <c r="M23" s="66"/>
      <c r="N23" s="33">
        <f>'ТСЖ 4 кв.2020г.'!N23</f>
        <v>236291.47</v>
      </c>
      <c r="O23" s="33">
        <f t="shared" si="4"/>
        <v>585611.56000000006</v>
      </c>
      <c r="P23" s="78">
        <v>243907.98</v>
      </c>
      <c r="Q23" s="46">
        <f t="shared" si="3"/>
        <v>93.71244596460977</v>
      </c>
      <c r="S23" s="93">
        <f t="shared" si="1"/>
        <v>55144.85999999987</v>
      </c>
      <c r="T23" s="93">
        <f t="shared" si="2"/>
        <v>55387.640000000021</v>
      </c>
      <c r="V23" s="93">
        <f t="shared" ref="V23:V29" si="5">N23</f>
        <v>236291.47</v>
      </c>
      <c r="Y23" s="92">
        <v>33221.46</v>
      </c>
      <c r="Z23" s="92">
        <v>242.78</v>
      </c>
    </row>
    <row r="24" spans="1:26" s="92" customFormat="1" ht="45.75" thickBot="1">
      <c r="A24" s="32">
        <v>1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33">
        <f>'ТСЖ 4 кв.2020г.'!H24-'ТСЖ 4 кв.2020г.'!I24+'ТСЖ 1 кв.2021г.'!Y24+W24+Z24</f>
        <v>193397.23000000004</v>
      </c>
      <c r="I24" s="61">
        <f>32821.79+2.76</f>
        <v>32824.550000000003</v>
      </c>
      <c r="J24" s="33">
        <f>'ТСЖ 4 кв.2020г.'!J24+'ТСЖ 1 кв.2021г.'!Y24</f>
        <v>1185506.0599999998</v>
      </c>
      <c r="K24" s="33">
        <f>'ТСЖ 4 кв.2020г.'!K24+'ТСЖ 1 кв.2021г.'!I24</f>
        <v>1025897.5199999999</v>
      </c>
      <c r="L24" s="72"/>
      <c r="M24" s="61"/>
      <c r="N24" s="33">
        <f>'ТСЖ 4 кв.2020г.'!N24</f>
        <v>124391</v>
      </c>
      <c r="O24" s="33">
        <f t="shared" si="4"/>
        <v>901506.5199999999</v>
      </c>
      <c r="P24" s="44">
        <v>420551</v>
      </c>
      <c r="Q24" s="65">
        <f t="shared" si="3"/>
        <v>86.536674473009441</v>
      </c>
      <c r="S24" s="93">
        <f t="shared" si="1"/>
        <v>159608.53999999992</v>
      </c>
      <c r="T24" s="93">
        <f t="shared" si="2"/>
        <v>160572.68000000005</v>
      </c>
      <c r="V24" s="93">
        <f t="shared" si="5"/>
        <v>124391</v>
      </c>
      <c r="Y24" s="92">
        <v>44898.42</v>
      </c>
      <c r="Z24" s="92">
        <v>962.94</v>
      </c>
    </row>
    <row r="25" spans="1:26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4 кв.2020г.'!H25-'ТСЖ 4 кв.2020г.'!I25+'ТСЖ 1 кв.2021г.'!Y25+W25+Z25</f>
        <v>52259.750000000015</v>
      </c>
      <c r="I25" s="33">
        <f>18980.59+14.82</f>
        <v>18995.41</v>
      </c>
      <c r="J25" s="33">
        <f>'ТСЖ 4 кв.2020г.'!J25+'ТСЖ 1 кв.2021г.'!Y25</f>
        <v>476271.07999999996</v>
      </c>
      <c r="K25" s="33">
        <f>'ТСЖ 4 кв.2020г.'!K25+'ТСЖ 1 кв.2021г.'!I25</f>
        <v>443145.77999999997</v>
      </c>
      <c r="L25" s="43"/>
      <c r="M25" s="66"/>
      <c r="N25" s="33">
        <f>'ТСЖ 4 кв.2020г.'!N25</f>
        <v>248930</v>
      </c>
      <c r="O25" s="33">
        <f t="shared" si="4"/>
        <v>194215.77999999997</v>
      </c>
      <c r="P25" s="44">
        <v>146097.04999999999</v>
      </c>
      <c r="Q25" s="46">
        <f t="shared" si="3"/>
        <v>93.044864281912737</v>
      </c>
      <c r="S25" s="93">
        <f t="shared" si="1"/>
        <v>33125.299999999988</v>
      </c>
      <c r="T25" s="93">
        <f t="shared" si="2"/>
        <v>33264.340000000011</v>
      </c>
      <c r="U25" s="93"/>
      <c r="V25" s="93">
        <f t="shared" si="5"/>
        <v>248930</v>
      </c>
      <c r="Y25" s="92">
        <v>18046.5</v>
      </c>
      <c r="Z25" s="92">
        <v>139.04</v>
      </c>
    </row>
    <row r="26" spans="1:26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4 кв.2020г.'!H26-'ТСЖ 4 кв.2020г.'!I26+'ТСЖ 1 кв.2021г.'!Y26+W26+Z26</f>
        <v>181661.74</v>
      </c>
      <c r="I26" s="33">
        <f>39472.85+56.27</f>
        <v>39529.119999999995</v>
      </c>
      <c r="J26" s="33">
        <f>'ТСЖ 4 кв.2020г.'!J26+'ТСЖ 1 кв.2021г.'!Y26</f>
        <v>890080.59000000008</v>
      </c>
      <c r="K26" s="33">
        <f>'ТСЖ 4 кв.2020г.'!K26+'ТСЖ 1 кв.2021г.'!I26</f>
        <v>748579.16000000015</v>
      </c>
      <c r="L26" s="43"/>
      <c r="M26" s="33"/>
      <c r="N26" s="33">
        <f>'ТСЖ 4 кв.2020г.'!N26</f>
        <v>455040</v>
      </c>
      <c r="O26" s="33">
        <f t="shared" si="4"/>
        <v>293539.16000000015</v>
      </c>
      <c r="P26" s="44">
        <v>235115.53</v>
      </c>
      <c r="Q26" s="46">
        <f>K26/J26*100</f>
        <v>84.102402457737014</v>
      </c>
      <c r="S26" s="93">
        <f t="shared" si="1"/>
        <v>141501.42999999993</v>
      </c>
      <c r="T26" s="93">
        <f t="shared" si="2"/>
        <v>142132.62</v>
      </c>
      <c r="V26" s="93">
        <f t="shared" si="5"/>
        <v>455040</v>
      </c>
      <c r="Y26" s="92">
        <v>33696.870000000003</v>
      </c>
      <c r="Z26" s="92">
        <v>631.19000000000005</v>
      </c>
    </row>
    <row r="27" spans="1:26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'ТСЖ 4 кв.2020г.'!H27-'ТСЖ 4 кв.2020г.'!I27+'ТСЖ 1 кв.2021г.'!Y27+W27+Z27</f>
        <v>152105.71</v>
      </c>
      <c r="I27" s="33">
        <f>29475.41+3.54</f>
        <v>29478.95</v>
      </c>
      <c r="J27" s="33">
        <f>'ТСЖ 4 кв.2020г.'!J27+'ТСЖ 1 кв.2021г.'!Y27</f>
        <v>880274.29999999993</v>
      </c>
      <c r="K27" s="33">
        <f>'ТСЖ 4 кв.2020г.'!K27+'ТСЖ 1 кв.2021г.'!I27</f>
        <v>758214.62</v>
      </c>
      <c r="L27" s="43"/>
      <c r="M27" s="66"/>
      <c r="N27" s="33">
        <f>'ТСЖ 4 кв.2020г.'!N27</f>
        <v>475020</v>
      </c>
      <c r="O27" s="33">
        <f t="shared" si="4"/>
        <v>283194.62</v>
      </c>
      <c r="P27" s="44">
        <v>287247.24</v>
      </c>
      <c r="Q27" s="46">
        <f>K27/J27*100</f>
        <v>86.13390394335039</v>
      </c>
      <c r="S27" s="93">
        <f t="shared" si="1"/>
        <v>122059.67999999993</v>
      </c>
      <c r="T27" s="93">
        <f t="shared" si="2"/>
        <v>122626.76</v>
      </c>
      <c r="V27" s="93">
        <f t="shared" si="5"/>
        <v>475020</v>
      </c>
      <c r="Y27" s="92">
        <v>33302.019999999997</v>
      </c>
      <c r="Z27" s="92">
        <v>567.08000000000004</v>
      </c>
    </row>
    <row r="28" spans="1:26" s="92" customFormat="1" ht="43.5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4 кв.2020г.'!H28-'ТСЖ 4 кв.2020г.'!I28+'ТСЖ 1 кв.2021г.'!Y28+W28+Z28</f>
        <v>268856.91000000003</v>
      </c>
      <c r="I28" s="33">
        <f>67997.67+354.73</f>
        <v>68352.399999999994</v>
      </c>
      <c r="J28" s="33">
        <f>'ТСЖ 4 кв.2020г.'!J28+'ТСЖ 1 кв.2021г.'!Y28</f>
        <v>1355843.35</v>
      </c>
      <c r="K28" s="33">
        <f>'ТСЖ 4 кв.2020г.'!K28+'ТСЖ 1 кв.2021г.'!I28</f>
        <v>1156564.3199999998</v>
      </c>
      <c r="L28" s="43"/>
      <c r="M28" s="33"/>
      <c r="N28" s="33">
        <f>'ТСЖ 4 кв.2020г.'!N28</f>
        <v>548708</v>
      </c>
      <c r="O28" s="33">
        <f t="shared" si="4"/>
        <v>607856.31999999983</v>
      </c>
      <c r="P28" s="44">
        <v>354498.41</v>
      </c>
      <c r="Q28" s="46">
        <f t="shared" si="3"/>
        <v>85.302208400402577</v>
      </c>
      <c r="S28" s="93">
        <f t="shared" si="1"/>
        <v>199279.03000000026</v>
      </c>
      <c r="T28" s="93">
        <f t="shared" si="2"/>
        <v>200504.51000000004</v>
      </c>
      <c r="U28" s="93"/>
      <c r="V28" s="93">
        <f t="shared" si="5"/>
        <v>548708</v>
      </c>
      <c r="Y28" s="92">
        <v>51287.040000000001</v>
      </c>
      <c r="Z28" s="92">
        <v>1225.48</v>
      </c>
    </row>
    <row r="29" spans="1:26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4 кв.2020г.'!H29-'ТСЖ 4 кв.2020г.'!I29+'ТСЖ 1 кв.2021г.'!Y29+W29+Z29</f>
        <v>165285.81999999992</v>
      </c>
      <c r="I29" s="33">
        <f>64072.62+160.88</f>
        <v>64233.5</v>
      </c>
      <c r="J29" s="33">
        <f>'ТСЖ 4 кв.2020г.'!J29+'ТСЖ 1 кв.2021г.'!Y29</f>
        <v>897207.48999999987</v>
      </c>
      <c r="K29" s="33">
        <f>'ТСЖ 4 кв.2020г.'!K29+'ТСЖ 1 кв.2021г.'!I29</f>
        <v>796777.20000000007</v>
      </c>
      <c r="L29" s="43"/>
      <c r="M29" s="66"/>
      <c r="N29" s="33">
        <f>'ТСЖ 4 кв.2020г.'!N29</f>
        <v>546055</v>
      </c>
      <c r="O29" s="33">
        <f t="shared" si="4"/>
        <v>250722.20000000007</v>
      </c>
      <c r="P29" s="44">
        <v>309141.18</v>
      </c>
      <c r="Q29" s="46">
        <f>K29/J29*100</f>
        <v>88.806347347813613</v>
      </c>
      <c r="S29" s="48">
        <f t="shared" si="1"/>
        <v>100430.2899999998</v>
      </c>
      <c r="T29" s="48">
        <f t="shared" si="2"/>
        <v>101052.31999999992</v>
      </c>
      <c r="V29" s="93">
        <f t="shared" si="5"/>
        <v>546055</v>
      </c>
      <c r="Y29" s="49">
        <f>34020.38-65.93</f>
        <v>33954.449999999997</v>
      </c>
      <c r="Z29" s="49">
        <v>622.03</v>
      </c>
    </row>
    <row r="30" spans="1:26" ht="12.75" customHeight="1">
      <c r="A30" s="2"/>
      <c r="Y30" s="100">
        <f>SUM(Y15:Y29)</f>
        <v>550260.64</v>
      </c>
      <c r="Z30" s="100">
        <f>SUM(Z15:Z29)</f>
        <v>9677.369999999999</v>
      </c>
    </row>
    <row r="31" spans="1:26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6" ht="15" customHeight="1">
      <c r="A32" s="2"/>
      <c r="B32" s="76" t="s">
        <v>164</v>
      </c>
      <c r="C32" s="203" t="s">
        <v>283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 hidden="1">
      <c r="A33" s="2"/>
      <c r="B33" s="77"/>
      <c r="C33" s="203" t="s">
        <v>131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5.75" hidden="1">
      <c r="A34" s="2"/>
      <c r="B34" s="77" t="s">
        <v>165</v>
      </c>
      <c r="C34" s="203" t="s">
        <v>185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</row>
    <row r="35" spans="1:15" ht="15.75" hidden="1">
      <c r="A35" s="2"/>
      <c r="B35" s="77" t="s">
        <v>166</v>
      </c>
      <c r="C35" s="203" t="s">
        <v>169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</row>
    <row r="36" spans="1:15" ht="15.75" hidden="1">
      <c r="A36" s="2"/>
      <c r="B36" s="77" t="s">
        <v>166</v>
      </c>
      <c r="C36" s="203" t="s">
        <v>186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</row>
    <row r="37" spans="1:15" ht="15.75" hidden="1">
      <c r="A37" s="2"/>
      <c r="B37" s="77" t="s">
        <v>167</v>
      </c>
      <c r="C37" s="203" t="s">
        <v>187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15" ht="15.75" hidden="1">
      <c r="A38" s="2"/>
      <c r="B38" s="77" t="s">
        <v>165</v>
      </c>
      <c r="C38" s="203" t="s">
        <v>180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5.75" hidden="1">
      <c r="A39" s="2"/>
      <c r="B39" s="77" t="s">
        <v>166</v>
      </c>
      <c r="C39" s="203" t="s">
        <v>181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5.75" hidden="1">
      <c r="A40" s="2"/>
      <c r="B40" s="77" t="s">
        <v>167</v>
      </c>
      <c r="C40" s="203" t="s">
        <v>182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15.75" hidden="1">
      <c r="A41" s="2"/>
      <c r="B41" s="75" t="s">
        <v>168</v>
      </c>
      <c r="C41" s="203" t="s">
        <v>178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5.75" hidden="1">
      <c r="A42" s="2"/>
      <c r="B42" s="75" t="s">
        <v>171</v>
      </c>
      <c r="C42" s="203" t="s">
        <v>170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15.75" hidden="1">
      <c r="A43" s="2"/>
      <c r="B43" s="75" t="s">
        <v>176</v>
      </c>
      <c r="C43" s="203" t="s">
        <v>179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5.75" hidden="1">
      <c r="A44" s="2"/>
      <c r="B44" s="75" t="s">
        <v>177</v>
      </c>
      <c r="C44" s="203" t="s">
        <v>172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27" customFormat="1" ht="15.75">
      <c r="A46" s="4" t="str">
        <f>'УК 1кв. 2021г.'!A28</f>
        <v>05 апреля 2021 г.</v>
      </c>
      <c r="I46" s="28"/>
    </row>
    <row r="47" spans="1:15" s="27" customFormat="1" ht="15.75">
      <c r="A47" s="4"/>
      <c r="I47" s="28"/>
    </row>
    <row r="48" spans="1:15" s="27" customFormat="1" ht="15.75">
      <c r="A48" s="4"/>
      <c r="I48" s="28"/>
    </row>
    <row r="49" spans="1:11" s="27" customFormat="1" ht="15.75">
      <c r="A49" s="4" t="s">
        <v>47</v>
      </c>
      <c r="I49" s="28"/>
    </row>
    <row r="50" spans="1:11" s="27" customFormat="1" ht="15.75" hidden="1">
      <c r="A50" s="30" t="s">
        <v>48</v>
      </c>
      <c r="I50" s="28"/>
    </row>
    <row r="51" spans="1:11">
      <c r="A51" s="1"/>
    </row>
    <row r="52" spans="1:11">
      <c r="A52" s="1"/>
      <c r="K52" s="3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  <row r="65" spans="1:1">
      <c r="A65" s="1"/>
    </row>
  </sheetData>
  <mergeCells count="37">
    <mergeCell ref="C33:O33"/>
    <mergeCell ref="C34:O34"/>
    <mergeCell ref="C35:O35"/>
    <mergeCell ref="C36:O36"/>
    <mergeCell ref="C44:O44"/>
    <mergeCell ref="C38:O38"/>
    <mergeCell ref="C39:O39"/>
    <mergeCell ref="C40:O40"/>
    <mergeCell ref="C41:O41"/>
    <mergeCell ref="C42:O42"/>
    <mergeCell ref="C43:O43"/>
    <mergeCell ref="C37:O37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32:O32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  <mergeCell ref="F11:F13"/>
    <mergeCell ref="G11:G13"/>
    <mergeCell ref="H11:I11"/>
    <mergeCell ref="J11:K11"/>
    <mergeCell ref="L11:N11"/>
  </mergeCells>
  <pageMargins left="0.31496062992125984" right="0.31496062992125984" top="0.35433070866141736" bottom="0.35433070866141736" header="0.31496062992125984" footer="0.31496062992125984"/>
  <pageSetup paperSize="9" scale="51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topLeftCell="A7" zoomScaleNormal="100" workbookViewId="0">
      <selection activeCell="G23" sqref="G23"/>
    </sheetView>
  </sheetViews>
  <sheetFormatPr defaultColWidth="9.140625" defaultRowHeight="15"/>
  <cols>
    <col min="1" max="1" width="9.140625" style="13"/>
    <col min="2" max="2" width="12.42578125" style="13" customWidth="1"/>
    <col min="3" max="3" width="28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2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2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2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2" ht="15.75">
      <c r="A4" s="158" t="s">
        <v>273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2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2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2" ht="15.75">
      <c r="A7" s="1" t="s">
        <v>7</v>
      </c>
      <c r="D7" s="18" t="s">
        <v>51</v>
      </c>
      <c r="E7" s="17"/>
      <c r="F7" s="17"/>
      <c r="G7" s="17"/>
      <c r="H7" s="17"/>
    </row>
    <row r="8" spans="1:22">
      <c r="A8" s="1" t="s">
        <v>8</v>
      </c>
    </row>
    <row r="9" spans="1:22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2" ht="15.75">
      <c r="A10" s="18" t="s">
        <v>61</v>
      </c>
    </row>
    <row r="11" spans="1:22" ht="15.75">
      <c r="A11" s="18" t="s">
        <v>62</v>
      </c>
    </row>
    <row r="12" spans="1:22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2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2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</row>
    <row r="15" spans="1:22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2" s="15" customFormat="1" ht="30">
      <c r="A16" s="32">
        <v>1</v>
      </c>
      <c r="B16" s="32" t="s">
        <v>28</v>
      </c>
      <c r="C16" s="32" t="s">
        <v>52</v>
      </c>
      <c r="D16" s="32">
        <v>2001</v>
      </c>
      <c r="E16" s="32"/>
      <c r="F16" s="33">
        <v>9312.5</v>
      </c>
      <c r="G16" s="32">
        <v>5.3</v>
      </c>
      <c r="H16" s="33">
        <f>'УК 3 кв. 2020г.'!H16-'УК 3 кв. 2020г.'!I16+V16</f>
        <v>352693.53999999992</v>
      </c>
      <c r="I16" s="33">
        <v>164414.92000000001</v>
      </c>
      <c r="J16" s="33">
        <f>'УК 3 кв. 2020г.'!J16+V16</f>
        <v>3699234.3199999994</v>
      </c>
      <c r="K16" s="33">
        <f>'УК 3 кв. 2020г.'!K16+'УК 4 кв. 2020г.'!I16</f>
        <v>3591732.3899999997</v>
      </c>
      <c r="L16" s="64"/>
      <c r="M16" s="47"/>
      <c r="N16" s="33">
        <f>'УК 3 кв. 2020г.'!N16</f>
        <v>894970.86</v>
      </c>
      <c r="O16" s="33">
        <f>K16-N16</f>
        <v>2696761.53</v>
      </c>
      <c r="P16" s="102">
        <f t="shared" ref="P16:P21" si="0">K16/J16*100</f>
        <v>97.093941051022696</v>
      </c>
      <c r="R16" s="19">
        <f>J16-K16</f>
        <v>107501.9299999997</v>
      </c>
      <c r="S16" s="19">
        <f>H16-I16</f>
        <v>188278.61999999991</v>
      </c>
      <c r="V16" s="15">
        <v>148068.78</v>
      </c>
    </row>
    <row r="17" spans="1:22" s="15" customFormat="1" ht="48.75" customHeight="1">
      <c r="A17" s="32">
        <v>1</v>
      </c>
      <c r="B17" s="32" t="s">
        <v>28</v>
      </c>
      <c r="C17" s="32" t="s">
        <v>57</v>
      </c>
      <c r="D17" s="32">
        <v>2011</v>
      </c>
      <c r="E17" s="32"/>
      <c r="F17" s="32" t="s">
        <v>58</v>
      </c>
      <c r="G17" s="32">
        <v>7.32</v>
      </c>
      <c r="H17" s="33">
        <f>'УК 3 кв. 2020г.'!H17-'УК 3 кв. 2020г.'!I17+V17</f>
        <v>132281.38</v>
      </c>
      <c r="I17" s="33">
        <f>104224.82-16569.52</f>
        <v>87655.3</v>
      </c>
      <c r="J17" s="33">
        <f>'УК 3 кв. 2020г.'!J17+V17</f>
        <v>950227.75</v>
      </c>
      <c r="K17" s="33">
        <f>'УК 3 кв. 2020г.'!K17+'УК 4 кв. 2020г.'!I17</f>
        <v>905601.67</v>
      </c>
      <c r="L17" s="32"/>
      <c r="M17" s="32"/>
      <c r="N17" s="33">
        <f>'УК 3 кв. 2020г.'!N17</f>
        <v>0</v>
      </c>
      <c r="O17" s="33">
        <f>K17-N17</f>
        <v>905601.67</v>
      </c>
      <c r="P17" s="102">
        <f t="shared" si="0"/>
        <v>95.303643784345397</v>
      </c>
      <c r="R17" s="19">
        <f>J17-K17</f>
        <v>44626.079999999958</v>
      </c>
      <c r="S17" s="19">
        <f>H17-I17</f>
        <v>44626.080000000002</v>
      </c>
      <c r="V17" s="15">
        <v>67720.320000000007</v>
      </c>
    </row>
    <row r="18" spans="1:22" s="15" customFormat="1" ht="42" customHeight="1">
      <c r="A18" s="32">
        <v>1</v>
      </c>
      <c r="B18" s="32" t="s">
        <v>28</v>
      </c>
      <c r="C18" s="32" t="s">
        <v>91</v>
      </c>
      <c r="D18" s="32">
        <v>2012</v>
      </c>
      <c r="E18" s="32"/>
      <c r="F18" s="33">
        <v>2517.1999999999998</v>
      </c>
      <c r="G18" s="32">
        <v>7.32</v>
      </c>
      <c r="H18" s="33">
        <f>'УК 3 кв. 2020г.'!H18-'УК 3 кв. 2020г.'!I18+V18</f>
        <v>543193.85</v>
      </c>
      <c r="I18" s="33">
        <v>72617.679999999993</v>
      </c>
      <c r="J18" s="33">
        <f>'УК 3 кв. 2020г.'!J18+V18</f>
        <v>1361038.92</v>
      </c>
      <c r="K18" s="33">
        <f>'УК 3 кв. 2020г.'!K18+'УК 4 кв. 2020г.'!I18</f>
        <v>890462.75</v>
      </c>
      <c r="L18" s="34"/>
      <c r="M18" s="89"/>
      <c r="N18" s="33">
        <f>'УК 3 кв. 2020г.'!N18</f>
        <v>150967</v>
      </c>
      <c r="O18" s="33">
        <f>K18-N18</f>
        <v>739495.75</v>
      </c>
      <c r="P18" s="102">
        <f t="shared" si="0"/>
        <v>65.425223108241454</v>
      </c>
      <c r="R18" s="19">
        <f>J18-K18</f>
        <v>470576.16999999993</v>
      </c>
      <c r="S18" s="19">
        <f>H18-I18</f>
        <v>470576.17</v>
      </c>
      <c r="V18" s="15">
        <v>55277.73</v>
      </c>
    </row>
    <row r="19" spans="1:22" s="15" customFormat="1" ht="48.75" customHeight="1">
      <c r="A19" s="32">
        <v>1</v>
      </c>
      <c r="B19" s="32" t="s">
        <v>28</v>
      </c>
      <c r="C19" s="32" t="s">
        <v>92</v>
      </c>
      <c r="D19" s="32">
        <v>2012</v>
      </c>
      <c r="E19" s="32"/>
      <c r="F19" s="33">
        <v>2729.9</v>
      </c>
      <c r="G19" s="32">
        <v>7.32</v>
      </c>
      <c r="H19" s="33">
        <f>'УК 3 кв. 2020г.'!H19-'УК 3 кв. 2020г.'!I19+V19</f>
        <v>262314.59999999992</v>
      </c>
      <c r="I19" s="33">
        <v>64859.46</v>
      </c>
      <c r="J19" s="33">
        <f>'УК 3 кв. 2020г.'!J19+V19</f>
        <v>1552223.1099999999</v>
      </c>
      <c r="K19" s="33">
        <f>'УК 3 кв. 2020г.'!K19+'УК 4 кв. 2020г.'!I19</f>
        <v>1354767.97</v>
      </c>
      <c r="L19" s="43"/>
      <c r="M19" s="91"/>
      <c r="N19" s="33">
        <f>'УК 3 кв. 2020г.'!N19</f>
        <v>104440.4</v>
      </c>
      <c r="O19" s="33">
        <f t="shared" ref="O19:O20" si="1">K19-N19</f>
        <v>1250327.57</v>
      </c>
      <c r="P19" s="102">
        <f t="shared" si="0"/>
        <v>87.279203696432546</v>
      </c>
      <c r="R19" s="19">
        <f>J19-K19</f>
        <v>197455.1399999999</v>
      </c>
      <c r="S19" s="19">
        <f t="shared" ref="S19:S20" si="2">H19-I19</f>
        <v>197455.13999999993</v>
      </c>
      <c r="U19" s="19"/>
      <c r="V19" s="19">
        <v>59948.61</v>
      </c>
    </row>
    <row r="20" spans="1:22" ht="30">
      <c r="A20" s="32">
        <v>1</v>
      </c>
      <c r="B20" s="32" t="s">
        <v>28</v>
      </c>
      <c r="C20" s="32" t="s">
        <v>152</v>
      </c>
      <c r="D20" s="32">
        <v>2007</v>
      </c>
      <c r="E20" s="32"/>
      <c r="F20" s="33">
        <v>2918.7</v>
      </c>
      <c r="G20" s="32">
        <v>7.32</v>
      </c>
      <c r="H20" s="33">
        <f>'УК 3 кв. 2020г.'!H20-'УК 3 кв. 2020г.'!I20+V20</f>
        <v>354757.15999999986</v>
      </c>
      <c r="I20" s="33">
        <v>58793.78</v>
      </c>
      <c r="J20" s="33">
        <f>'УК 3 кв. 2020г.'!J20+V20</f>
        <v>2023325.6599999997</v>
      </c>
      <c r="K20" s="33">
        <f>'УК 3 кв. 2020г.'!K20+'УК 4 кв. 2020г.'!I20</f>
        <v>1348104.12</v>
      </c>
      <c r="L20" s="32"/>
      <c r="M20" s="32"/>
      <c r="N20" s="33">
        <f>'УК 3 кв. 2020г.'!N20</f>
        <v>327173</v>
      </c>
      <c r="O20" s="33">
        <f t="shared" si="1"/>
        <v>1020931.1200000001</v>
      </c>
      <c r="P20" s="102">
        <f t="shared" si="0"/>
        <v>66.62813340685851</v>
      </c>
      <c r="R20" s="19">
        <f>J20-K20</f>
        <v>675221.53999999957</v>
      </c>
      <c r="S20" s="19">
        <f t="shared" si="2"/>
        <v>295963.37999999989</v>
      </c>
      <c r="V20" s="13">
        <v>64094.67</v>
      </c>
    </row>
    <row r="21" spans="1:22" ht="30">
      <c r="A21" s="32">
        <v>1</v>
      </c>
      <c r="B21" s="32" t="s">
        <v>28</v>
      </c>
      <c r="C21" s="32" t="s">
        <v>274</v>
      </c>
      <c r="D21" s="32">
        <v>2018</v>
      </c>
      <c r="E21" s="32"/>
      <c r="F21" s="33">
        <v>4764.6000000000004</v>
      </c>
      <c r="G21" s="32">
        <v>7.32</v>
      </c>
      <c r="H21" s="33">
        <f>'УК 3 кв. 2020г.'!H21-'УК 3 кв. 2020г.'!I21+V21</f>
        <v>104630.49</v>
      </c>
      <c r="I21" s="33">
        <v>38736.03</v>
      </c>
      <c r="J21" s="33">
        <f>'УК 3 кв. 2020г.'!J21+V21</f>
        <v>104630.49</v>
      </c>
      <c r="K21" s="33">
        <f>'УК 3 кв. 2020г.'!K21+'УК 4 кв. 2020г.'!I21</f>
        <v>38736.03</v>
      </c>
      <c r="L21" s="32"/>
      <c r="M21" s="32"/>
      <c r="N21" s="33"/>
      <c r="O21" s="33">
        <f t="shared" ref="O21" si="3">K21-N21</f>
        <v>38736.03</v>
      </c>
      <c r="P21" s="102">
        <f t="shared" si="0"/>
        <v>37.0217419415698</v>
      </c>
      <c r="R21" s="19"/>
      <c r="S21" s="19"/>
      <c r="V21" s="13">
        <v>104630.49</v>
      </c>
    </row>
    <row r="22" spans="1:22">
      <c r="A22" s="67"/>
      <c r="B22" s="67"/>
      <c r="C22" s="67"/>
      <c r="D22" s="67"/>
      <c r="E22" s="67"/>
      <c r="F22" s="68"/>
      <c r="G22" s="67"/>
      <c r="H22" s="68"/>
      <c r="I22" s="68"/>
      <c r="J22" s="68"/>
      <c r="K22" s="68"/>
      <c r="L22" s="67"/>
      <c r="M22" s="67"/>
      <c r="N22" s="67"/>
      <c r="O22" s="68"/>
      <c r="P22" s="63"/>
    </row>
    <row r="23" spans="1:22" s="17" customFormat="1" ht="15.75">
      <c r="A23" s="4" t="s">
        <v>64</v>
      </c>
      <c r="C23" s="90"/>
      <c r="D23" s="90"/>
      <c r="E23" s="90"/>
      <c r="F23" s="90"/>
      <c r="G23" s="90"/>
      <c r="H23" s="90"/>
      <c r="I23" s="90"/>
      <c r="J23" s="90"/>
      <c r="K23" s="90"/>
      <c r="L23" s="4"/>
      <c r="P23" s="62"/>
    </row>
    <row r="24" spans="1:22" s="17" customFormat="1" ht="15.75">
      <c r="A24" s="4"/>
      <c r="C24" s="90" t="s">
        <v>277</v>
      </c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13" t="s">
        <v>275</v>
      </c>
      <c r="D25" s="13"/>
      <c r="E25" s="13"/>
      <c r="F25" s="13"/>
      <c r="G25" s="13"/>
      <c r="H25" s="13"/>
      <c r="I25" s="13"/>
      <c r="J25" s="13"/>
      <c r="K25" s="13"/>
      <c r="P25" s="62"/>
    </row>
    <row r="26" spans="1:22" s="17" customFormat="1" ht="15.75">
      <c r="A26" s="4"/>
      <c r="C26" s="13"/>
      <c r="D26" s="13"/>
      <c r="E26" s="13"/>
      <c r="F26" s="13"/>
      <c r="G26" s="13"/>
      <c r="H26" s="13"/>
      <c r="I26" s="13"/>
      <c r="J26" s="13"/>
      <c r="K26" s="13"/>
      <c r="P26" s="62"/>
    </row>
    <row r="27" spans="1:22" s="17" customFormat="1" ht="15.75">
      <c r="A27" s="4"/>
      <c r="C27" s="13"/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 t="s">
        <v>276</v>
      </c>
      <c r="P28" s="62"/>
    </row>
    <row r="29" spans="1:22" s="17" customFormat="1" ht="15.75">
      <c r="A29" s="4" t="s">
        <v>59</v>
      </c>
      <c r="P29" s="62"/>
    </row>
    <row r="30" spans="1:22" s="17" customFormat="1" ht="15.75">
      <c r="A30" s="4"/>
      <c r="P30" s="62"/>
    </row>
    <row r="31" spans="1:22">
      <c r="A31" s="2" t="s">
        <v>48</v>
      </c>
    </row>
  </sheetData>
  <mergeCells count="25">
    <mergeCell ref="G12:G14"/>
    <mergeCell ref="H12:I12"/>
    <mergeCell ref="J12:K12"/>
    <mergeCell ref="L12:N12"/>
    <mergeCell ref="J13:J14"/>
    <mergeCell ref="K13:K14"/>
    <mergeCell ref="L13:L14"/>
    <mergeCell ref="M13:M14"/>
    <mergeCell ref="N13:N14"/>
    <mergeCell ref="F12:F14"/>
    <mergeCell ref="A1:P1"/>
    <mergeCell ref="A2:P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</mergeCells>
  <pageMargins left="0.78740157480314965" right="0.39370078740157483" top="0.39370078740157483" bottom="0.35433070866141736" header="0.31496062992125984" footer="0.31496062992125984"/>
  <pageSetup paperSize="9" scale="6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1" workbookViewId="0">
      <selection activeCell="H23" sqref="H23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5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5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5" s="13" customFormat="1" ht="15.75">
      <c r="A3" s="187" t="str">
        <f>'УК 4 кв. 2020г.'!A4:O4</f>
        <v xml:space="preserve">по состоянию за 4 квартал 2020 года на 01 января 2021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5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5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5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5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5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5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5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5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5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5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5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5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3 кв.2020г.'!H15-'ТСЖ 3 кв.2020г.'!I15+'ТСЖ 4 кв.2020г.'!Y15+W15</f>
        <v>375903.58</v>
      </c>
      <c r="I15" s="33">
        <f>67514.39+1414</f>
        <v>68928.39</v>
      </c>
      <c r="J15" s="33">
        <f>'ТСЖ 3 кв.2020г.'!J15+'ТСЖ 4 кв.2020г.'!Y15</f>
        <v>1921168.79</v>
      </c>
      <c r="K15" s="33">
        <f>'ТСЖ 3 кв.2020г.'!K15+'ТСЖ 4 кв.2020г.'!I15</f>
        <v>1619973.26</v>
      </c>
      <c r="L15" s="43"/>
      <c r="M15" s="66"/>
      <c r="N15" s="33">
        <f>'ТСЖ 3 кв.2020г.'!N15</f>
        <v>426357.21</v>
      </c>
      <c r="O15" s="33">
        <f>K15-V15</f>
        <v>1193616.05</v>
      </c>
      <c r="P15" s="74">
        <v>520817.08</v>
      </c>
      <c r="Q15" s="46">
        <f>K15/J15*100</f>
        <v>84.322276544998417</v>
      </c>
      <c r="S15" s="48">
        <f>J15-K15+W15</f>
        <v>302542.82</v>
      </c>
      <c r="T15" s="48">
        <f>H15-I15</f>
        <v>306975.19</v>
      </c>
      <c r="V15" s="48">
        <v>426357.21</v>
      </c>
      <c r="W15" s="49">
        <v>1347.29</v>
      </c>
      <c r="Y15" s="49">
        <v>75529.77</v>
      </c>
    </row>
    <row r="16" spans="1:25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3 кв.2020г.'!H16-'ТСЖ 3 кв.2020г.'!I16+'ТСЖ 4 кв.2020г.'!Y16+W16</f>
        <v>97373.19</v>
      </c>
      <c r="I16" s="33">
        <v>27401.81</v>
      </c>
      <c r="J16" s="33">
        <f>'ТСЖ 3 кв.2020г.'!J16+'ТСЖ 4 кв.2020г.'!Y16</f>
        <v>770364.63000000012</v>
      </c>
      <c r="K16" s="33">
        <f>'ТСЖ 3 кв.2020г.'!K16+'ТСЖ 4 кв.2020г.'!I16</f>
        <v>700393.25</v>
      </c>
      <c r="L16" s="43"/>
      <c r="M16" s="66"/>
      <c r="N16" s="33">
        <f>'ТСЖ 3 кв.2020г.'!N16</f>
        <v>221688.82</v>
      </c>
      <c r="O16" s="33">
        <f t="shared" ref="O16:O18" si="0">K16-V16</f>
        <v>478704.43</v>
      </c>
      <c r="P16" s="78">
        <v>264064.82</v>
      </c>
      <c r="Q16" s="46">
        <f>K16/J16*100</f>
        <v>90.917108953976751</v>
      </c>
      <c r="S16" s="48">
        <f t="shared" ref="S16:S29" si="1">J16-K16+W16</f>
        <v>69971.380000000121</v>
      </c>
      <c r="T16" s="48">
        <f t="shared" ref="T16:T29" si="2">H16-I16</f>
        <v>69971.38</v>
      </c>
      <c r="V16" s="48">
        <v>221688.82</v>
      </c>
      <c r="Y16" s="49">
        <v>30349.919999999998</v>
      </c>
    </row>
    <row r="17" spans="1:25" s="49" customFormat="1" ht="30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3 кв.2020г.'!H17-'ТСЖ 3 кв.2020г.'!I17+'ТСЖ 4 кв.2020г.'!Y17+W17</f>
        <v>172943.75000000003</v>
      </c>
      <c r="I17" s="61">
        <v>24055.85</v>
      </c>
      <c r="J17" s="33">
        <f>'ТСЖ 3 кв.2020г.'!J17+'ТСЖ 4 кв.2020г.'!Y17</f>
        <v>789241.74999999977</v>
      </c>
      <c r="K17" s="33">
        <f>'ТСЖ 3 кв.2020г.'!K17+'ТСЖ 4 кв.2020г.'!I17</f>
        <v>640353.85</v>
      </c>
      <c r="L17" s="72"/>
      <c r="M17" s="73"/>
      <c r="N17" s="33">
        <f>'ТСЖ 3 кв.2020г.'!N17</f>
        <v>476040</v>
      </c>
      <c r="O17" s="61">
        <f t="shared" si="0"/>
        <v>164313.84999999998</v>
      </c>
      <c r="P17" s="74">
        <v>253163.82</v>
      </c>
      <c r="Q17" s="65">
        <f>K17/J17*100</f>
        <v>81.135323872565053</v>
      </c>
      <c r="S17" s="48">
        <f t="shared" si="1"/>
        <v>148887.89999999979</v>
      </c>
      <c r="T17" s="48">
        <f t="shared" si="2"/>
        <v>148887.90000000002</v>
      </c>
      <c r="V17" s="48">
        <v>476040</v>
      </c>
      <c r="Y17" s="49">
        <v>30962.07</v>
      </c>
    </row>
    <row r="18" spans="1:25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3 кв.2020г.'!H18-'ТСЖ 3 кв.2020г.'!I18+'ТСЖ 4 кв.2020г.'!Y18+W18</f>
        <v>269355.25000000006</v>
      </c>
      <c r="I18" s="61">
        <v>57738.62</v>
      </c>
      <c r="J18" s="33">
        <f>'ТСЖ 3 кв.2020г.'!J18+'ТСЖ 4 кв.2020г.'!Y18</f>
        <v>1206964.5099999998</v>
      </c>
      <c r="K18" s="33">
        <f>'ТСЖ 3 кв.2020г.'!K18+'ТСЖ 4 кв.2020г.'!I18</f>
        <v>995347.88</v>
      </c>
      <c r="L18" s="72"/>
      <c r="M18" s="73"/>
      <c r="N18" s="33">
        <f>'ТСЖ 3 кв.2020г.'!N18</f>
        <v>731630</v>
      </c>
      <c r="O18" s="33">
        <f t="shared" si="0"/>
        <v>263717.88</v>
      </c>
      <c r="P18" s="44">
        <v>378042.71</v>
      </c>
      <c r="Q18" s="65">
        <f t="shared" ref="Q18:Q28" si="3">K18/J18*100</f>
        <v>82.467037908181766</v>
      </c>
      <c r="S18" s="48">
        <f t="shared" si="1"/>
        <v>211616.62999999977</v>
      </c>
      <c r="T18" s="48">
        <f t="shared" si="2"/>
        <v>211616.63000000006</v>
      </c>
      <c r="V18" s="48">
        <v>731630</v>
      </c>
      <c r="Y18" s="49">
        <v>47437.65</v>
      </c>
    </row>
    <row r="19" spans="1:25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3 кв.2020г.'!H19-'ТСЖ 3 кв.2020г.'!I19+'ТСЖ 4 кв.2020г.'!Y19+W19</f>
        <v>125752.56999999998</v>
      </c>
      <c r="I19" s="33">
        <v>20301.650000000001</v>
      </c>
      <c r="J19" s="33">
        <f>'ТСЖ 3 кв.2020г.'!J19+'ТСЖ 4 кв.2020г.'!Y19</f>
        <v>687776.50999999989</v>
      </c>
      <c r="K19" s="33">
        <f>'ТСЖ 3 кв.2020г.'!K19+'ТСЖ 4 кв.2020г.'!I19</f>
        <v>582325.59000000008</v>
      </c>
      <c r="L19" s="43"/>
      <c r="M19" s="66"/>
      <c r="N19" s="33">
        <f>'ТСЖ 3 кв.2020г.'!N19</f>
        <v>230810</v>
      </c>
      <c r="O19" s="33">
        <f>K19-N19</f>
        <v>351515.59000000008</v>
      </c>
      <c r="P19" s="44">
        <v>252978.03</v>
      </c>
      <c r="Q19" s="46">
        <f>K19/J19*100</f>
        <v>84.667850898251842</v>
      </c>
      <c r="S19" s="93">
        <f t="shared" si="1"/>
        <v>105450.91999999981</v>
      </c>
      <c r="T19" s="93">
        <f t="shared" si="2"/>
        <v>105450.91999999998</v>
      </c>
      <c r="V19" s="93">
        <v>230810</v>
      </c>
      <c r="Y19" s="92">
        <v>27025.23</v>
      </c>
    </row>
    <row r="20" spans="1:25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3 кв.2020г.'!H20-'ТСЖ 3 кв.2020г.'!I20+'ТСЖ 4 кв.2020г.'!Y20+W20</f>
        <v>87443.85</v>
      </c>
      <c r="I20" s="33">
        <v>24057.03</v>
      </c>
      <c r="J20" s="33">
        <f>'ТСЖ 3 кв.2020г.'!J20+'ТСЖ 4 кв.2020г.'!Y20</f>
        <v>480679.59999999992</v>
      </c>
      <c r="K20" s="33">
        <f>'ТСЖ 3 кв.2020г.'!K20+'ТСЖ 4 кв.2020г.'!I20</f>
        <v>417292.78</v>
      </c>
      <c r="L20" s="43"/>
      <c r="M20" s="66"/>
      <c r="N20" s="33">
        <f>'ТСЖ 3 кв.2020г.'!N20</f>
        <v>208003.99</v>
      </c>
      <c r="O20" s="33">
        <f t="shared" ref="O20:O29" si="4">K20-N20</f>
        <v>209288.79000000004</v>
      </c>
      <c r="P20" s="74">
        <v>124839.69</v>
      </c>
      <c r="Q20" s="46">
        <f t="shared" si="3"/>
        <v>86.813082976685536</v>
      </c>
      <c r="S20" s="93">
        <f t="shared" si="1"/>
        <v>63386.819999999891</v>
      </c>
      <c r="T20" s="93">
        <f t="shared" si="2"/>
        <v>63386.820000000007</v>
      </c>
      <c r="V20" s="93">
        <v>208003.99</v>
      </c>
      <c r="Y20" s="92">
        <v>18905.099999999999</v>
      </c>
    </row>
    <row r="21" spans="1:25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3 кв.2020г.'!H21-'ТСЖ 3 кв.2020г.'!I21+'ТСЖ 4 кв.2020г.'!Y21+W21</f>
        <v>152172.64999999997</v>
      </c>
      <c r="I21" s="61">
        <v>36770.82</v>
      </c>
      <c r="J21" s="33">
        <f>'ТСЖ 3 кв.2020г.'!J21+'ТСЖ 4 кв.2020г.'!Y21</f>
        <v>975056.28</v>
      </c>
      <c r="K21" s="33">
        <f>'ТСЖ 3 кв.2020г.'!K21+'ТСЖ 4 кв.2020г.'!I21</f>
        <v>859654.44999999984</v>
      </c>
      <c r="L21" s="72"/>
      <c r="M21" s="61"/>
      <c r="N21" s="33"/>
      <c r="O21" s="61">
        <f t="shared" si="4"/>
        <v>859654.44999999984</v>
      </c>
      <c r="P21" s="44">
        <v>388089.32</v>
      </c>
      <c r="Q21" s="65">
        <f t="shared" si="3"/>
        <v>88.164598047612159</v>
      </c>
      <c r="S21" s="93">
        <f t="shared" si="1"/>
        <v>115401.83000000019</v>
      </c>
      <c r="T21" s="93">
        <f t="shared" si="2"/>
        <v>115401.82999999996</v>
      </c>
      <c r="Y21" s="92">
        <v>38605.53</v>
      </c>
    </row>
    <row r="22" spans="1:25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3 кв.2020г.'!H22-'ТСЖ 3 кв.2020г.'!I22+'ТСЖ 4 кв.2020г.'!Y22+W22</f>
        <v>86336.000000000015</v>
      </c>
      <c r="I22" s="33">
        <v>23329.95</v>
      </c>
      <c r="J22" s="33">
        <f>'ТСЖ 3 кв.2020г.'!J22+'ТСЖ 4 кв.2020г.'!Y22</f>
        <v>839625.65999999992</v>
      </c>
      <c r="K22" s="33">
        <f>'ТСЖ 3 кв.2020г.'!K22+'ТСЖ 4 кв.2020г.'!I22</f>
        <v>776619.61</v>
      </c>
      <c r="L22" s="43"/>
      <c r="M22" s="66"/>
      <c r="N22" s="33">
        <f>'ТСЖ 3 кв.2020г.'!N22</f>
        <v>236291.47</v>
      </c>
      <c r="O22" s="33">
        <f t="shared" si="4"/>
        <v>540328.14</v>
      </c>
      <c r="P22" s="74">
        <v>223464.31</v>
      </c>
      <c r="Q22" s="46">
        <f>K22/J22*100</f>
        <v>92.495935629218394</v>
      </c>
      <c r="S22" s="93">
        <f t="shared" si="1"/>
        <v>63006.04999999993</v>
      </c>
      <c r="T22" s="93">
        <f t="shared" si="2"/>
        <v>63006.050000000017</v>
      </c>
      <c r="V22" s="93">
        <f>N22</f>
        <v>236291.47</v>
      </c>
      <c r="Y22" s="92">
        <v>33038.61</v>
      </c>
    </row>
    <row r="23" spans="1:25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3 кв.2020г.'!H23-'ТСЖ 3 кв.2020г.'!I23+'ТСЖ 4 кв.2020г.'!Y23+W23</f>
        <v>86653.550000000017</v>
      </c>
      <c r="I23" s="33">
        <f>34290.6-4272</f>
        <v>30018.6</v>
      </c>
      <c r="J23" s="33">
        <f>'ТСЖ 3 кв.2020г.'!J23+'ТСЖ 4 кв.2020г.'!Y23</f>
        <v>843826.42999999993</v>
      </c>
      <c r="K23" s="33">
        <f>'ТСЖ 3 кв.2020г.'!K23+'ТСЖ 4 кв.2020г.'!I23</f>
        <v>787191.48</v>
      </c>
      <c r="L23" s="43"/>
      <c r="M23" s="66"/>
      <c r="N23" s="33">
        <f>'ТСЖ 3 кв.2020г.'!N23</f>
        <v>236291.47</v>
      </c>
      <c r="O23" s="33">
        <f t="shared" si="4"/>
        <v>550900.01</v>
      </c>
      <c r="P23" s="78">
        <v>243907.98</v>
      </c>
      <c r="Q23" s="46">
        <f t="shared" si="3"/>
        <v>93.288317598679626</v>
      </c>
      <c r="S23" s="93">
        <f t="shared" si="1"/>
        <v>56634.949999999953</v>
      </c>
      <c r="T23" s="93">
        <f t="shared" si="2"/>
        <v>56634.950000000019</v>
      </c>
      <c r="V23" s="93">
        <f t="shared" ref="V23:V29" si="5">N23</f>
        <v>236291.47</v>
      </c>
      <c r="Y23" s="92">
        <v>33221.46</v>
      </c>
    </row>
    <row r="24" spans="1:25" s="92" customFormat="1" ht="45.75" thickBot="1">
      <c r="A24" s="32">
        <v>1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33">
        <f>'ТСЖ 3 кв.2020г.'!H24-'ТСЖ 3 кв.2020г.'!I24+'ТСЖ 4 кв.2020г.'!Y24+W24</f>
        <v>194244.67000000004</v>
      </c>
      <c r="I24" s="61">
        <v>46708.800000000003</v>
      </c>
      <c r="J24" s="33">
        <f>'ТСЖ 3 кв.2020г.'!J24+'ТСЖ 4 кв.2020г.'!Y24</f>
        <v>1140607.6399999999</v>
      </c>
      <c r="K24" s="33">
        <f>'ТСЖ 3 кв.2020г.'!K24+'ТСЖ 4 кв.2020г.'!I24</f>
        <v>993072.96999999986</v>
      </c>
      <c r="L24" s="72"/>
      <c r="M24" s="61"/>
      <c r="N24" s="33">
        <f>'ТСЖ 3 кв.2020г.'!N24</f>
        <v>124391</v>
      </c>
      <c r="O24" s="33">
        <f t="shared" si="4"/>
        <v>868681.96999999986</v>
      </c>
      <c r="P24" s="44">
        <v>420551</v>
      </c>
      <c r="Q24" s="65">
        <f t="shared" si="3"/>
        <v>87.065256725792224</v>
      </c>
      <c r="S24" s="93">
        <f t="shared" si="1"/>
        <v>147534.67000000004</v>
      </c>
      <c r="T24" s="93">
        <f t="shared" si="2"/>
        <v>147535.87000000005</v>
      </c>
      <c r="V24" s="93">
        <f t="shared" si="5"/>
        <v>124391</v>
      </c>
      <c r="Y24" s="92">
        <v>44898.42</v>
      </c>
    </row>
    <row r="25" spans="1:25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3 кв.2020г.'!H25-'ТСЖ 3 кв.2020г.'!I25+'ТСЖ 4 кв.2020г.'!Y25+W25</f>
        <v>48345.780000000013</v>
      </c>
      <c r="I25" s="33">
        <v>14271.57</v>
      </c>
      <c r="J25" s="33">
        <f>'ТСЖ 3 кв.2020г.'!J25+'ТСЖ 4 кв.2020г.'!Y25</f>
        <v>458224.57999999996</v>
      </c>
      <c r="K25" s="33">
        <f>'ТСЖ 3 кв.2020г.'!K25+'ТСЖ 4 кв.2020г.'!I25</f>
        <v>424150.37</v>
      </c>
      <c r="L25" s="43"/>
      <c r="M25" s="66"/>
      <c r="N25" s="33">
        <f>'ТСЖ 3 кв.2020г.'!N25</f>
        <v>248930</v>
      </c>
      <c r="O25" s="33">
        <f t="shared" si="4"/>
        <v>175220.37</v>
      </c>
      <c r="P25" s="44">
        <v>146097.04999999999</v>
      </c>
      <c r="Q25" s="46">
        <f t="shared" si="3"/>
        <v>92.563862462375994</v>
      </c>
      <c r="S25" s="93">
        <f t="shared" si="1"/>
        <v>34074.209999999963</v>
      </c>
      <c r="T25" s="93">
        <f t="shared" si="2"/>
        <v>34074.210000000014</v>
      </c>
      <c r="U25" s="93"/>
      <c r="V25" s="93">
        <f t="shared" si="5"/>
        <v>248930</v>
      </c>
      <c r="Y25" s="92">
        <v>18046.5</v>
      </c>
    </row>
    <row r="26" spans="1:25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3 кв.2020г.'!H26-'ТСЖ 3 кв.2020г.'!I26+'ТСЖ 4 кв.2020г.'!Y26+W26</f>
        <v>193801.61</v>
      </c>
      <c r="I26" s="33">
        <v>46467.93</v>
      </c>
      <c r="J26" s="33">
        <f>'ТСЖ 3 кв.2020г.'!J26+'ТСЖ 4 кв.2020г.'!Y26</f>
        <v>856383.72000000009</v>
      </c>
      <c r="K26" s="33">
        <f>'ТСЖ 3 кв.2020г.'!K26+'ТСЖ 4 кв.2020г.'!I26</f>
        <v>709050.04000000015</v>
      </c>
      <c r="L26" s="43"/>
      <c r="M26" s="33"/>
      <c r="N26" s="33">
        <f>'ТСЖ 3 кв.2020г.'!N26</f>
        <v>455040</v>
      </c>
      <c r="O26" s="33">
        <f t="shared" si="4"/>
        <v>254010.04000000015</v>
      </c>
      <c r="P26" s="44">
        <v>235115.53</v>
      </c>
      <c r="Q26" s="46">
        <f>K26/J26*100</f>
        <v>82.795833624674714</v>
      </c>
      <c r="S26" s="93">
        <f t="shared" si="1"/>
        <v>147333.67999999993</v>
      </c>
      <c r="T26" s="93">
        <f t="shared" si="2"/>
        <v>147333.68</v>
      </c>
      <c r="V26" s="93">
        <f t="shared" si="5"/>
        <v>455040</v>
      </c>
      <c r="Y26" s="92">
        <v>33696.870000000003</v>
      </c>
    </row>
    <row r="27" spans="1:25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'ТСЖ 3 кв.2020г.'!H27-'ТСЖ 3 кв.2020г.'!I27+'ТСЖ 4 кв.2020г.'!Y27+W27</f>
        <v>142820.72</v>
      </c>
      <c r="I27" s="33">
        <v>24584.11</v>
      </c>
      <c r="J27" s="33">
        <f>'ТСЖ 3 кв.2020г.'!J27+'ТСЖ 4 кв.2020г.'!Y27</f>
        <v>846972.27999999991</v>
      </c>
      <c r="K27" s="33">
        <f>'ТСЖ 3 кв.2020г.'!K27+'ТСЖ 4 кв.2020г.'!I27</f>
        <v>728735.67</v>
      </c>
      <c r="L27" s="43"/>
      <c r="M27" s="66"/>
      <c r="N27" s="33">
        <f>'ТСЖ 3 кв.2020г.'!N27</f>
        <v>475020</v>
      </c>
      <c r="O27" s="33">
        <f t="shared" si="4"/>
        <v>253715.67000000004</v>
      </c>
      <c r="P27" s="44">
        <v>287247.24</v>
      </c>
      <c r="Q27" s="46">
        <f>K27/J27*100</f>
        <v>86.040085042688773</v>
      </c>
      <c r="S27" s="93">
        <f t="shared" si="1"/>
        <v>118236.60999999987</v>
      </c>
      <c r="T27" s="93">
        <f t="shared" si="2"/>
        <v>118236.61</v>
      </c>
      <c r="V27" s="93">
        <f t="shared" si="5"/>
        <v>475020</v>
      </c>
      <c r="Y27" s="92">
        <v>33302.019999999997</v>
      </c>
    </row>
    <row r="28" spans="1:25" s="92" customFormat="1" ht="43.5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3 кв.2020г.'!H28-'ТСЖ 3 кв.2020г.'!I28+'ТСЖ 4 кв.2020г.'!Y28+W28</f>
        <v>270316.85000000003</v>
      </c>
      <c r="I28" s="33">
        <v>53972.46</v>
      </c>
      <c r="J28" s="33">
        <f>'ТСЖ 3 кв.2020г.'!J28+'ТСЖ 4 кв.2020г.'!Y28</f>
        <v>1304556.31</v>
      </c>
      <c r="K28" s="33">
        <f>'ТСЖ 3 кв.2020г.'!K28+'ТСЖ 4 кв.2020г.'!I28</f>
        <v>1088211.92</v>
      </c>
      <c r="L28" s="43"/>
      <c r="M28" s="33"/>
      <c r="N28" s="33">
        <f>'ТСЖ 3 кв.2020г.'!N28</f>
        <v>548708</v>
      </c>
      <c r="O28" s="33">
        <f t="shared" si="4"/>
        <v>539503.91999999993</v>
      </c>
      <c r="P28" s="44">
        <v>354498.41</v>
      </c>
      <c r="Q28" s="46">
        <f t="shared" si="3"/>
        <v>83.416247474974838</v>
      </c>
      <c r="S28" s="93">
        <f t="shared" si="1"/>
        <v>216344.39000000013</v>
      </c>
      <c r="T28" s="93">
        <f t="shared" si="2"/>
        <v>216344.39000000004</v>
      </c>
      <c r="U28" s="93"/>
      <c r="V28" s="93">
        <f t="shared" si="5"/>
        <v>548708</v>
      </c>
      <c r="Y28" s="92">
        <v>51287.040000000001</v>
      </c>
    </row>
    <row r="29" spans="1:25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3 кв.2020г.'!H29-'ТСЖ 3 кв.2020г.'!I29+'ТСЖ 4 кв.2020г.'!Y29+W29</f>
        <v>155676.24999999994</v>
      </c>
      <c r="I29" s="33">
        <v>24966.91</v>
      </c>
      <c r="J29" s="33">
        <f>'ТСЖ 3 кв.2020г.'!J29+'ТСЖ 4 кв.2020г.'!Y29</f>
        <v>863253.03999999992</v>
      </c>
      <c r="K29" s="33">
        <f>'ТСЖ 3 кв.2020г.'!K29+'ТСЖ 4 кв.2020г.'!I29</f>
        <v>732543.70000000007</v>
      </c>
      <c r="L29" s="43"/>
      <c r="M29" s="66"/>
      <c r="N29" s="33">
        <f>'ТСЖ 3 кв.2020г.'!N29</f>
        <v>546055</v>
      </c>
      <c r="O29" s="33">
        <f t="shared" si="4"/>
        <v>186488.70000000007</v>
      </c>
      <c r="P29" s="44">
        <v>309141.18</v>
      </c>
      <c r="Q29" s="46">
        <f>K29/J29*100</f>
        <v>84.858513791043251</v>
      </c>
      <c r="S29" s="48">
        <f t="shared" si="1"/>
        <v>130709.33999999985</v>
      </c>
      <c r="T29" s="48">
        <f t="shared" si="2"/>
        <v>130709.33999999994</v>
      </c>
      <c r="V29" s="93">
        <f t="shared" si="5"/>
        <v>546055</v>
      </c>
      <c r="Y29" s="49">
        <f>34020.38-65.93</f>
        <v>33954.449999999997</v>
      </c>
    </row>
    <row r="30" spans="1:25" ht="12.75" customHeight="1">
      <c r="A30" s="2"/>
      <c r="Y30" s="100">
        <f>SUM(Y15:Y29)</f>
        <v>550260.64</v>
      </c>
    </row>
    <row r="31" spans="1:25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5" ht="15" customHeight="1">
      <c r="A32" s="2"/>
      <c r="B32" s="76" t="s">
        <v>164</v>
      </c>
      <c r="C32" s="203" t="s">
        <v>278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 hidden="1">
      <c r="A33" s="2"/>
      <c r="B33" s="77"/>
      <c r="C33" s="203" t="s">
        <v>131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5.75" hidden="1">
      <c r="A34" s="2"/>
      <c r="B34" s="77" t="s">
        <v>165</v>
      </c>
      <c r="C34" s="203" t="s">
        <v>185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</row>
    <row r="35" spans="1:15" ht="15.75" hidden="1">
      <c r="A35" s="2"/>
      <c r="B35" s="77" t="s">
        <v>166</v>
      </c>
      <c r="C35" s="203" t="s">
        <v>169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</row>
    <row r="36" spans="1:15" ht="15.75" hidden="1">
      <c r="A36" s="2"/>
      <c r="B36" s="77" t="s">
        <v>166</v>
      </c>
      <c r="C36" s="203" t="s">
        <v>186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</row>
    <row r="37" spans="1:15" ht="15.75" hidden="1">
      <c r="A37" s="2"/>
      <c r="B37" s="77" t="s">
        <v>167</v>
      </c>
      <c r="C37" s="203" t="s">
        <v>187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15" ht="15.75" hidden="1">
      <c r="A38" s="2"/>
      <c r="B38" s="77" t="s">
        <v>165</v>
      </c>
      <c r="C38" s="203" t="s">
        <v>180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5.75" hidden="1">
      <c r="A39" s="2"/>
      <c r="B39" s="77" t="s">
        <v>166</v>
      </c>
      <c r="C39" s="203" t="s">
        <v>181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5.75" hidden="1">
      <c r="A40" s="2"/>
      <c r="B40" s="77" t="s">
        <v>167</v>
      </c>
      <c r="C40" s="203" t="s">
        <v>182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15.75" hidden="1">
      <c r="A41" s="2"/>
      <c r="B41" s="75" t="s">
        <v>168</v>
      </c>
      <c r="C41" s="203" t="s">
        <v>178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5.75" hidden="1">
      <c r="A42" s="2"/>
      <c r="B42" s="75" t="s">
        <v>171</v>
      </c>
      <c r="C42" s="203" t="s">
        <v>170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15.75" hidden="1">
      <c r="A43" s="2"/>
      <c r="B43" s="75" t="s">
        <v>176</v>
      </c>
      <c r="C43" s="203" t="s">
        <v>179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5.75" hidden="1">
      <c r="A44" s="2"/>
      <c r="B44" s="75" t="s">
        <v>177</v>
      </c>
      <c r="C44" s="203" t="s">
        <v>172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27" customFormat="1" ht="15.75">
      <c r="A46" s="4" t="str">
        <f>'УК 4 кв. 2020г.'!A28</f>
        <v>04 января 2021 г.</v>
      </c>
      <c r="I46" s="28"/>
    </row>
    <row r="47" spans="1:15" s="27" customFormat="1" ht="15.75">
      <c r="A47" s="4"/>
      <c r="I47" s="28"/>
    </row>
    <row r="48" spans="1:15" s="27" customFormat="1" ht="15.75">
      <c r="A48" s="4"/>
      <c r="I48" s="28"/>
    </row>
    <row r="49" spans="1:11" s="27" customFormat="1" ht="15.75">
      <c r="A49" s="4" t="s">
        <v>47</v>
      </c>
      <c r="I49" s="28"/>
    </row>
    <row r="50" spans="1:11" s="27" customFormat="1" ht="15.75" hidden="1">
      <c r="A50" s="30" t="s">
        <v>48</v>
      </c>
      <c r="I50" s="28"/>
    </row>
    <row r="51" spans="1:11">
      <c r="A51" s="1"/>
    </row>
    <row r="52" spans="1:11">
      <c r="A52" s="1"/>
      <c r="K52" s="3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  <row r="65" spans="1:1">
      <c r="A65" s="1"/>
    </row>
  </sheetData>
  <mergeCells count="37">
    <mergeCell ref="C33:O33"/>
    <mergeCell ref="C34:O34"/>
    <mergeCell ref="C35:O35"/>
    <mergeCell ref="C36:O36"/>
    <mergeCell ref="C44:O44"/>
    <mergeCell ref="C38:O38"/>
    <mergeCell ref="C39:O39"/>
    <mergeCell ref="C40:O40"/>
    <mergeCell ref="C41:O41"/>
    <mergeCell ref="C42:O42"/>
    <mergeCell ref="C43:O43"/>
    <mergeCell ref="C37:O37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32:O32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  <mergeCell ref="F11:F13"/>
    <mergeCell ref="G11:G13"/>
    <mergeCell ref="H11:I11"/>
    <mergeCell ref="J11:K11"/>
    <mergeCell ref="L11:N11"/>
  </mergeCells>
  <pageMargins left="0.31496062992125984" right="0.31496062992125984" top="0.35433070866141736" bottom="0.35433070866141736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3"/>
  <sheetViews>
    <sheetView workbookViewId="0">
      <pane xSplit="3" ySplit="14" topLeftCell="E15" activePane="bottomRight" state="frozen"/>
      <selection activeCell="O10" sqref="O10"/>
      <selection pane="topRight" activeCell="O10" sqref="O10"/>
      <selection pane="bottomLeft" activeCell="O10" sqref="O10"/>
      <selection pane="bottomRight" activeCell="O10" sqref="O10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  <col min="28" max="28" width="9.7109375" bestFit="1" customWidth="1"/>
    <col min="30" max="30" width="11.28515625" customWidth="1"/>
  </cols>
  <sheetData>
    <row r="1" spans="1:30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30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30" s="13" customFormat="1" ht="15.75">
      <c r="A3" s="187" t="str">
        <f>' 1 кв. 2025г.'!A4:O4</f>
        <v xml:space="preserve">по состоянию за 1 квартал 2025 года на 01 апреля 2025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30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30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30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30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30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30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30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30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30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30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  <c r="AB13" s="38" t="s">
        <v>451</v>
      </c>
    </row>
    <row r="14" spans="1:30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30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4752.7</v>
      </c>
      <c r="G15" s="32">
        <v>7.34</v>
      </c>
      <c r="H15" s="33">
        <f>'ТСЖ 4 кв.2024г.'!H15-'ТСЖ 4 кв.2024г.'!I15+X15+V15+W15</f>
        <v>429582.1160000001</v>
      </c>
      <c r="I15" s="33">
        <f>Z15+AA15+X15+AB15</f>
        <v>106097.56</v>
      </c>
      <c r="J15" s="33">
        <f>'ТСЖ 4 кв.2024г.'!J15+Z15+AA15+X15</f>
        <v>3439150.3500000006</v>
      </c>
      <c r="K15" s="33">
        <f>'ТСЖ 4 кв.2024г.'!K15+'ТСЖ 1 кв.2025г.'!I15</f>
        <v>3160238.8499999996</v>
      </c>
      <c r="L15" s="43"/>
      <c r="M15" s="66"/>
      <c r="N15" s="33">
        <f>'ТСЖ 4 кв.2024г.'!N15</f>
        <v>426357.21</v>
      </c>
      <c r="O15" s="105">
        <f>K15-N15</f>
        <v>2733881.6399999997</v>
      </c>
      <c r="P15" s="74">
        <v>520817.08</v>
      </c>
      <c r="Q15" s="46">
        <f>K15/J15*100</f>
        <v>91.890104484673046</v>
      </c>
      <c r="S15" s="48">
        <f>J15-K15+16536.37</f>
        <v>295447.87000000093</v>
      </c>
      <c r="T15" s="48">
        <f>H15-I15</f>
        <v>323484.5560000001</v>
      </c>
      <c r="V15" s="42">
        <v>104654.49</v>
      </c>
      <c r="W15" s="42">
        <f>11525.18-1.09</f>
        <v>11524.09</v>
      </c>
      <c r="X15" s="48">
        <v>3257.42</v>
      </c>
      <c r="Y15" s="48"/>
      <c r="Z15" s="48">
        <v>102809.8</v>
      </c>
      <c r="AA15" s="48">
        <v>30.34</v>
      </c>
    </row>
    <row r="16" spans="1:30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7.34</v>
      </c>
      <c r="H16" s="33">
        <f>'ТСЖ 4 кв.2024г.'!H16-'ТСЖ 4 кв.2024г.'!I16+X16+V16+W16</f>
        <v>93669.309999999954</v>
      </c>
      <c r="I16" s="33">
        <f t="shared" ref="I16:I29" si="0">Z16+AA16+X16+AB16</f>
        <v>31889.760000000002</v>
      </c>
      <c r="J16" s="33">
        <f>'ТСЖ 4 кв.2024г.'!J16+Z16+AA16+X16</f>
        <v>1388375.8400000003</v>
      </c>
      <c r="K16" s="33">
        <f>'ТСЖ 4 кв.2024г.'!K16+'ТСЖ 1 кв.2025г.'!I16</f>
        <v>1303669.49</v>
      </c>
      <c r="L16" s="43"/>
      <c r="M16" s="66"/>
      <c r="N16" s="33">
        <f>'ТСЖ 4 кв.2024г.'!N16</f>
        <v>221688.82</v>
      </c>
      <c r="O16" s="105">
        <f t="shared" ref="O16:O29" si="1">K16-N16</f>
        <v>1081980.67</v>
      </c>
      <c r="P16" s="78">
        <v>264064.82</v>
      </c>
      <c r="Q16" s="46">
        <f>K16/J16*100</f>
        <v>93.898889078911068</v>
      </c>
      <c r="S16" s="48">
        <f t="shared" ref="S16:S29" si="2">J16-K16+X16</f>
        <v>84706.350000000326</v>
      </c>
      <c r="T16" s="48">
        <f t="shared" ref="T16:T29" si="3">H16-I16</f>
        <v>61779.549999999952</v>
      </c>
      <c r="V16" s="124">
        <v>42031.74</v>
      </c>
      <c r="W16" s="124">
        <v>1727.28</v>
      </c>
      <c r="X16" s="125"/>
      <c r="Y16" s="125"/>
      <c r="Z16" s="124">
        <v>31858.13</v>
      </c>
      <c r="AA16" s="124">
        <v>31.63</v>
      </c>
      <c r="AB16" s="48"/>
      <c r="AC16" s="49">
        <f>F16*G16*3</f>
        <v>42031.775999999998</v>
      </c>
      <c r="AD16" s="48">
        <f>V16-AC16</f>
        <v>-3.6000000000058208E-2</v>
      </c>
    </row>
    <row r="17" spans="1:30" s="49" customFormat="1" ht="33.75" customHeight="1">
      <c r="A17" s="32">
        <v>1</v>
      </c>
      <c r="B17" s="148" t="s">
        <v>28</v>
      </c>
      <c r="C17" s="148" t="s">
        <v>402</v>
      </c>
      <c r="D17" s="148">
        <v>2002</v>
      </c>
      <c r="E17" s="148"/>
      <c r="F17" s="151">
        <v>1947.3</v>
      </c>
      <c r="G17" s="32">
        <v>7.34</v>
      </c>
      <c r="H17" s="33">
        <f>'ТСЖ 4 кв.2024г.'!H17-'ТСЖ 4 кв.2024г.'!I17+X17+V17+W17</f>
        <v>226658.89000000016</v>
      </c>
      <c r="I17" s="33">
        <f t="shared" si="0"/>
        <v>45763.37</v>
      </c>
      <c r="J17" s="33">
        <f>'ТСЖ 4 кв.2024г.'!J17+Z17+AA17+X17</f>
        <v>1365652.4899999988</v>
      </c>
      <c r="K17" s="33">
        <f>'ТСЖ 4 кв.2024г.'!K17+'ТСЖ 1 кв.2025г.'!I17</f>
        <v>1222119.55</v>
      </c>
      <c r="L17" s="43"/>
      <c r="M17" s="66"/>
      <c r="N17" s="33">
        <f>'ТСЖ 4 кв.2024г.'!N17</f>
        <v>476040</v>
      </c>
      <c r="O17" s="105">
        <f t="shared" si="1"/>
        <v>746079.55</v>
      </c>
      <c r="P17" s="74">
        <v>253163.82</v>
      </c>
      <c r="Q17" s="152">
        <f>K17/J17*100</f>
        <v>89.489790334582196</v>
      </c>
      <c r="S17" s="48">
        <f t="shared" si="2"/>
        <v>143532.93999999878</v>
      </c>
      <c r="T17" s="48">
        <f t="shared" si="3"/>
        <v>180895.52000000016</v>
      </c>
      <c r="V17" s="124">
        <v>42879.54</v>
      </c>
      <c r="W17" s="124">
        <v>6497.85</v>
      </c>
      <c r="X17" s="125"/>
      <c r="Y17" s="125"/>
      <c r="Z17" s="124">
        <v>45422.18</v>
      </c>
      <c r="AA17" s="124">
        <v>341.19</v>
      </c>
      <c r="AB17" s="48"/>
      <c r="AC17" s="49">
        <f t="shared" ref="AC17:AC29" si="4">F17*G17*3</f>
        <v>42879.545999999995</v>
      </c>
      <c r="AD17" s="48">
        <f t="shared" ref="AD17:AD29" si="5">V17-AC17</f>
        <v>-5.9999999939464033E-3</v>
      </c>
    </row>
    <row r="18" spans="1:30" s="49" customFormat="1" ht="63.75" customHeight="1" thickBot="1">
      <c r="A18" s="32">
        <v>1</v>
      </c>
      <c r="B18" s="148" t="s">
        <v>28</v>
      </c>
      <c r="C18" s="148" t="s">
        <v>403</v>
      </c>
      <c r="D18" s="148">
        <v>2003</v>
      </c>
      <c r="E18" s="148"/>
      <c r="F18" s="151">
        <v>2990</v>
      </c>
      <c r="G18" s="32">
        <v>7.34</v>
      </c>
      <c r="H18" s="33">
        <f>'ТСЖ 4 кв.2024г.'!H18-'ТСЖ 4 кв.2024г.'!I18+X18+V18+W18</f>
        <v>291776.05000000005</v>
      </c>
      <c r="I18" s="33">
        <f t="shared" si="0"/>
        <v>68822.559999999998</v>
      </c>
      <c r="J18" s="33">
        <f>'ТСЖ 4 кв.2024г.'!J18+Z18+AA18+X18</f>
        <v>2090276.3699999992</v>
      </c>
      <c r="K18" s="33">
        <f>'ТСЖ 4 кв.2024г.'!K18+'ТСЖ 1 кв.2025г.'!I18</f>
        <v>1940549.95</v>
      </c>
      <c r="L18" s="43"/>
      <c r="M18" s="66"/>
      <c r="N18" s="33">
        <f>'ТСЖ 4 кв.2024г.'!N18</f>
        <v>731630</v>
      </c>
      <c r="O18" s="105">
        <f t="shared" si="1"/>
        <v>1208919.95</v>
      </c>
      <c r="P18" s="44">
        <v>378042.71</v>
      </c>
      <c r="Q18" s="152">
        <f t="shared" ref="Q18:Q28" si="6">K18/J18*100</f>
        <v>92.837003654210605</v>
      </c>
      <c r="S18" s="48">
        <f t="shared" si="2"/>
        <v>151156.81999999922</v>
      </c>
      <c r="T18" s="48">
        <f t="shared" si="3"/>
        <v>222953.49000000005</v>
      </c>
      <c r="V18" s="124">
        <v>65839.679999999993</v>
      </c>
      <c r="W18" s="124">
        <v>7675.85</v>
      </c>
      <c r="X18" s="125">
        <v>1430.4</v>
      </c>
      <c r="Y18" s="125"/>
      <c r="Z18" s="124">
        <v>64261.37</v>
      </c>
      <c r="AA18" s="124">
        <v>3130.79</v>
      </c>
      <c r="AB18" s="48"/>
      <c r="AC18" s="49">
        <f t="shared" si="4"/>
        <v>65839.799999999988</v>
      </c>
      <c r="AD18" s="48">
        <f t="shared" si="5"/>
        <v>-0.11999999999534339</v>
      </c>
    </row>
    <row r="19" spans="1:30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7.34</v>
      </c>
      <c r="H19" s="33">
        <f>'ТСЖ 4 кв.2024г.'!H19-'ТСЖ 4 кв.2024г.'!I19+X19+V19+W19</f>
        <v>91275.210000000021</v>
      </c>
      <c r="I19" s="33">
        <f t="shared" si="0"/>
        <v>37160.840000000004</v>
      </c>
      <c r="J19" s="33">
        <f>'ТСЖ 4 кв.2024г.'!J19+Z19+AA19+X19</f>
        <v>1302622.0900000003</v>
      </c>
      <c r="K19" s="33">
        <f>'ТСЖ 4 кв.2024г.'!K19+'ТСЖ 1 кв.2025г.'!I19</f>
        <v>1160887.3600000001</v>
      </c>
      <c r="L19" s="43"/>
      <c r="M19" s="66"/>
      <c r="N19" s="33">
        <f>'ТСЖ 4 кв.2024г.'!N19</f>
        <v>230810</v>
      </c>
      <c r="O19" s="105">
        <f>K19-N19</f>
        <v>930077.3600000001</v>
      </c>
      <c r="P19" s="44">
        <v>252978.03</v>
      </c>
      <c r="Q19" s="46">
        <f>K19/J19*100</f>
        <v>89.119274800567823</v>
      </c>
      <c r="S19" s="93">
        <f t="shared" si="2"/>
        <v>141734.73000000021</v>
      </c>
      <c r="T19" s="93">
        <f t="shared" si="3"/>
        <v>54114.370000000017</v>
      </c>
      <c r="V19" s="124">
        <v>37403.19</v>
      </c>
      <c r="W19" s="124">
        <v>1538.28</v>
      </c>
      <c r="X19" s="126"/>
      <c r="Y19" s="126"/>
      <c r="Z19" s="124">
        <f>32069.65+5012.9</f>
        <v>37082.550000000003</v>
      </c>
      <c r="AA19" s="124">
        <v>78.290000000000006</v>
      </c>
      <c r="AB19" s="48"/>
      <c r="AC19" s="49">
        <f t="shared" si="4"/>
        <v>37403.171999999991</v>
      </c>
      <c r="AD19" s="48">
        <f t="shared" si="5"/>
        <v>1.800000001094304E-2</v>
      </c>
    </row>
    <row r="20" spans="1:30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7.34</v>
      </c>
      <c r="H20" s="33">
        <f>'ТСЖ 4 кв.2024г.'!H20-'ТСЖ 4 кв.2024г.'!I20+X20+V20+W20</f>
        <v>115101.18999999999</v>
      </c>
      <c r="I20" s="33">
        <f t="shared" si="0"/>
        <v>21086.94</v>
      </c>
      <c r="J20" s="33">
        <f>'ТСЖ 4 кв.2024г.'!J20+Z20+AA20+X20</f>
        <v>797011.82</v>
      </c>
      <c r="K20" s="33">
        <f>'ТСЖ 4 кв.2024г.'!K20+'ТСЖ 1 кв.2025г.'!I20</f>
        <v>760006.36999999988</v>
      </c>
      <c r="L20" s="43"/>
      <c r="M20" s="66"/>
      <c r="N20" s="33">
        <f>'ТСЖ 4 кв.2024г.'!N20</f>
        <v>208003.99</v>
      </c>
      <c r="O20" s="105">
        <f t="shared" si="1"/>
        <v>552002.37999999989</v>
      </c>
      <c r="P20" s="74">
        <v>124839.69</v>
      </c>
      <c r="Q20" s="46">
        <f t="shared" si="6"/>
        <v>95.356976010719634</v>
      </c>
      <c r="S20" s="93">
        <f t="shared" si="2"/>
        <v>37005.45000000007</v>
      </c>
      <c r="T20" s="93">
        <f t="shared" si="3"/>
        <v>94014.249999999985</v>
      </c>
      <c r="V20" s="124">
        <v>26181.81</v>
      </c>
      <c r="W20" s="124">
        <v>3405.37</v>
      </c>
      <c r="X20" s="126"/>
      <c r="Y20" s="126"/>
      <c r="Z20" s="124">
        <v>21086.94</v>
      </c>
      <c r="AA20" s="124">
        <v>0</v>
      </c>
      <c r="AB20" s="48"/>
      <c r="AC20" s="49">
        <f t="shared" si="4"/>
        <v>26181.78</v>
      </c>
      <c r="AD20" s="48">
        <f t="shared" si="5"/>
        <v>3.0000000002473826E-2</v>
      </c>
    </row>
    <row r="21" spans="1:30" s="92" customFormat="1" ht="52.5" customHeight="1" thickBot="1">
      <c r="A21" s="32">
        <v>1</v>
      </c>
      <c r="B21" s="148" t="s">
        <v>28</v>
      </c>
      <c r="C21" s="148" t="s">
        <v>391</v>
      </c>
      <c r="D21" s="148">
        <v>2012</v>
      </c>
      <c r="E21" s="148"/>
      <c r="F21" s="151">
        <v>2427.8000000000002</v>
      </c>
      <c r="G21" s="32">
        <v>7.34</v>
      </c>
      <c r="H21" s="33">
        <f>'ТСЖ 4 кв.2024г.'!H21-'ТСЖ 4 кв.2024г.'!I21+X21+V21+W21</f>
        <v>200507.06999999998</v>
      </c>
      <c r="I21" s="33">
        <f t="shared" si="0"/>
        <v>41765.759999999995</v>
      </c>
      <c r="J21" s="33">
        <f>'ТСЖ 4 кв.2024г.'!J21+Z21+AA21+X21</f>
        <v>1675306.2299999997</v>
      </c>
      <c r="K21" s="33">
        <f>'ТСЖ 4 кв.2024г.'!K21+'ТСЖ 1 кв.2025г.'!I21</f>
        <v>1575369.49</v>
      </c>
      <c r="L21" s="43"/>
      <c r="M21" s="66"/>
      <c r="N21" s="33">
        <f>'ТСЖ 4 кв.2024г.'!N21</f>
        <v>0</v>
      </c>
      <c r="O21" s="105">
        <f t="shared" si="1"/>
        <v>1575369.49</v>
      </c>
      <c r="P21" s="44">
        <v>388089.32</v>
      </c>
      <c r="Q21" s="152">
        <f t="shared" si="6"/>
        <v>94.034718058679942</v>
      </c>
      <c r="S21" s="93">
        <f t="shared" si="2"/>
        <v>99936.739999999758</v>
      </c>
      <c r="T21" s="93">
        <f t="shared" si="3"/>
        <v>158741.31</v>
      </c>
      <c r="V21" s="124">
        <v>53460.21</v>
      </c>
      <c r="W21" s="124">
        <v>5206.6899999999996</v>
      </c>
      <c r="X21" s="126"/>
      <c r="Y21" s="126"/>
      <c r="Z21" s="124">
        <v>41724.67</v>
      </c>
      <c r="AA21" s="124">
        <v>41.09</v>
      </c>
      <c r="AB21" s="48"/>
      <c r="AC21" s="49">
        <f t="shared" si="4"/>
        <v>53460.156000000003</v>
      </c>
      <c r="AD21" s="48">
        <f t="shared" si="5"/>
        <v>5.3999999996449333E-2</v>
      </c>
    </row>
    <row r="22" spans="1:30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7.34</v>
      </c>
      <c r="H22" s="33">
        <f>'ТСЖ 4 кв.2024г.'!H22-'ТСЖ 4 кв.2024г.'!I22+X22+V22+W22</f>
        <v>82924.820000000051</v>
      </c>
      <c r="I22" s="33">
        <f t="shared" si="0"/>
        <v>44808.03</v>
      </c>
      <c r="J22" s="33">
        <f>'ТСЖ 4 кв.2024г.'!J22+Z22+AA22+X22</f>
        <v>1508742.5200000003</v>
      </c>
      <c r="K22" s="33">
        <f>'ТСЖ 4 кв.2024г.'!K22+'ТСЖ 1 кв.2025г.'!I22</f>
        <v>1446895.5</v>
      </c>
      <c r="L22" s="43"/>
      <c r="M22" s="66"/>
      <c r="N22" s="33">
        <f>'ТСЖ 4 кв.2024г.'!N22</f>
        <v>454457.47</v>
      </c>
      <c r="O22" s="105">
        <f t="shared" si="1"/>
        <v>992438.03</v>
      </c>
      <c r="P22" s="74">
        <v>223464.31</v>
      </c>
      <c r="Q22" s="46">
        <f>K22/J22*100</f>
        <v>95.900757141781867</v>
      </c>
      <c r="S22" s="93">
        <f t="shared" si="2"/>
        <v>61847.020000000251</v>
      </c>
      <c r="T22" s="93">
        <f t="shared" si="3"/>
        <v>38116.790000000052</v>
      </c>
      <c r="V22" s="124">
        <v>45755.28</v>
      </c>
      <c r="W22" s="124">
        <v>988.37</v>
      </c>
      <c r="X22" s="126"/>
      <c r="Y22" s="126"/>
      <c r="Z22" s="124">
        <v>44807.53</v>
      </c>
      <c r="AA22" s="124">
        <v>0.5</v>
      </c>
      <c r="AB22" s="48"/>
      <c r="AC22" s="49">
        <f t="shared" si="4"/>
        <v>45755.358</v>
      </c>
      <c r="AD22" s="48">
        <f t="shared" si="5"/>
        <v>-7.8000000001338776E-2</v>
      </c>
    </row>
    <row r="23" spans="1:30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7.34</v>
      </c>
      <c r="H23" s="33">
        <f>'ТСЖ 4 кв.2024г.'!H23-'ТСЖ 4 кв.2024г.'!I23+X23+V23+W23</f>
        <v>64351.76</v>
      </c>
      <c r="I23" s="33">
        <f>Z23+AA23+X23+AB23</f>
        <v>47824.420000000006</v>
      </c>
      <c r="J23" s="33">
        <f>'ТСЖ 4 кв.2024г.'!J23+Z23+AA23+X23</f>
        <v>1463638.7599999993</v>
      </c>
      <c r="K23" s="33">
        <f>'ТСЖ 4 кв.2024г.'!K23+'ТСЖ 1 кв.2025г.'!I23</f>
        <v>1460168.3</v>
      </c>
      <c r="L23" s="43"/>
      <c r="M23" s="66"/>
      <c r="N23" s="33">
        <f>'ТСЖ 4 кв.2024г.'!N23</f>
        <v>435700.47000000003</v>
      </c>
      <c r="O23" s="105">
        <f t="shared" si="1"/>
        <v>1024467.8300000001</v>
      </c>
      <c r="P23" s="78">
        <v>243907.98</v>
      </c>
      <c r="Q23" s="46">
        <f t="shared" si="6"/>
        <v>99.762888214302322</v>
      </c>
      <c r="S23" s="93">
        <f t="shared" si="2"/>
        <v>3470.4599999992643</v>
      </c>
      <c r="T23" s="93">
        <f t="shared" si="3"/>
        <v>16527.339999999997</v>
      </c>
      <c r="V23" s="124">
        <v>45944.76</v>
      </c>
      <c r="W23" s="124">
        <v>368.36</v>
      </c>
      <c r="X23" s="126"/>
      <c r="Y23" s="126"/>
      <c r="Z23" s="124">
        <v>48160.98</v>
      </c>
      <c r="AA23" s="124">
        <v>38.39</v>
      </c>
      <c r="AB23" s="48">
        <v>-374.95</v>
      </c>
      <c r="AC23" s="49">
        <f t="shared" si="4"/>
        <v>45944.729999999996</v>
      </c>
      <c r="AD23" s="48">
        <f t="shared" si="5"/>
        <v>3.0000000006111804E-2</v>
      </c>
    </row>
    <row r="24" spans="1:30" s="92" customFormat="1" ht="30.75" thickBot="1">
      <c r="A24" s="32">
        <v>1</v>
      </c>
      <c r="B24" s="148" t="s">
        <v>28</v>
      </c>
      <c r="C24" s="148" t="s">
        <v>394</v>
      </c>
      <c r="D24" s="148">
        <v>1996</v>
      </c>
      <c r="E24" s="148"/>
      <c r="F24" s="151">
        <v>2824.4</v>
      </c>
      <c r="G24" s="32">
        <v>7.34</v>
      </c>
      <c r="H24" s="33">
        <f>'ТСЖ 4 кв.2024г.'!H24-'ТСЖ 4 кв.2024г.'!I24+X24+V24+W24</f>
        <v>230658.78</v>
      </c>
      <c r="I24" s="33">
        <f t="shared" si="0"/>
        <v>59643.93</v>
      </c>
      <c r="J24" s="33">
        <f>'ТСЖ 4 кв.2024г.'!J24+Z24+AA24+X24</f>
        <v>2106608.7600000007</v>
      </c>
      <c r="K24" s="33">
        <f>'ТСЖ 4 кв.2024г.'!K24+'ТСЖ 1 кв.2025г.'!I24</f>
        <v>1896184.7000000002</v>
      </c>
      <c r="L24" s="43"/>
      <c r="M24" s="66"/>
      <c r="N24" s="33">
        <f>'ТСЖ 4 кв.2024г.'!N24</f>
        <v>124391</v>
      </c>
      <c r="O24" s="105">
        <f t="shared" si="1"/>
        <v>1771793.7000000002</v>
      </c>
      <c r="P24" s="44">
        <v>420551</v>
      </c>
      <c r="Q24" s="152">
        <f>K24/J24*100</f>
        <v>90.011241574823771</v>
      </c>
      <c r="S24" s="93">
        <f>J24-K24+3064.16</f>
        <v>213488.22000000053</v>
      </c>
      <c r="T24" s="93">
        <f t="shared" si="3"/>
        <v>171014.85</v>
      </c>
      <c r="U24" s="128">
        <v>1771.81</v>
      </c>
      <c r="V24" s="124">
        <v>62193.3</v>
      </c>
      <c r="W24" s="124">
        <v>5996.83</v>
      </c>
      <c r="X24" s="126">
        <v>2115.58</v>
      </c>
      <c r="Y24" s="126"/>
      <c r="Z24" s="124">
        <v>56360.83</v>
      </c>
      <c r="AA24" s="124">
        <v>1167.52</v>
      </c>
      <c r="AB24" s="48"/>
      <c r="AC24" s="49">
        <f t="shared" si="4"/>
        <v>62193.288</v>
      </c>
      <c r="AD24" s="48">
        <f t="shared" si="5"/>
        <v>1.2000000002444722E-2</v>
      </c>
    </row>
    <row r="25" spans="1:30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7.34</v>
      </c>
      <c r="H25" s="33">
        <f>'ТСЖ 4 кв.2024г.'!H25-'ТСЖ 4 кв.2024г.'!I25+X25+V25+W25</f>
        <v>53319.99</v>
      </c>
      <c r="I25" s="33">
        <f t="shared" si="0"/>
        <v>17741.05</v>
      </c>
      <c r="J25" s="33">
        <f>'ТСЖ 4 кв.2024г.'!J25+Z25+AA25+X25</f>
        <v>809897.43</v>
      </c>
      <c r="K25" s="33">
        <f>'ТСЖ 4 кв.2024г.'!K25+'ТСЖ 1 кв.2025г.'!I25</f>
        <v>774956.57000000018</v>
      </c>
      <c r="L25" s="43"/>
      <c r="M25" s="66"/>
      <c r="N25" s="33">
        <f>'ТСЖ 4 кв.2024г.'!N25</f>
        <v>248930</v>
      </c>
      <c r="O25" s="105">
        <f t="shared" si="1"/>
        <v>526026.57000000018</v>
      </c>
      <c r="P25" s="44">
        <v>146097.04999999999</v>
      </c>
      <c r="Q25" s="46">
        <f t="shared" si="6"/>
        <v>95.685767270554265</v>
      </c>
      <c r="S25" s="93">
        <f t="shared" si="2"/>
        <v>34940.85999999987</v>
      </c>
      <c r="T25" s="93">
        <f t="shared" si="3"/>
        <v>35578.94</v>
      </c>
      <c r="U25" s="93"/>
      <c r="V25" s="124">
        <v>24992.73</v>
      </c>
      <c r="W25" s="124">
        <v>733.38</v>
      </c>
      <c r="X25" s="126"/>
      <c r="Y25" s="126"/>
      <c r="Z25" s="124">
        <v>17738.82</v>
      </c>
      <c r="AA25" s="124">
        <v>2.23</v>
      </c>
      <c r="AB25" s="48"/>
      <c r="AC25" s="49">
        <f t="shared" si="4"/>
        <v>24992.699999999997</v>
      </c>
      <c r="AD25" s="48">
        <f t="shared" si="5"/>
        <v>3.0000000002473826E-2</v>
      </c>
    </row>
    <row r="26" spans="1:30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7.34</v>
      </c>
      <c r="H26" s="33">
        <f>'ТСЖ 4 кв.2024г.'!H26-'ТСЖ 4 кв.2024г.'!I26+X26+V26+W26</f>
        <v>256767.33999999982</v>
      </c>
      <c r="I26" s="33">
        <f t="shared" si="0"/>
        <v>54838.32</v>
      </c>
      <c r="J26" s="33">
        <f>'ТСЖ 4 кв.2024г.'!J26+Z26+AA26+X26</f>
        <v>1482851.84</v>
      </c>
      <c r="K26" s="33">
        <f>'ТСЖ 4 кв.2024г.'!K26+'ТСЖ 1 кв.2025г.'!I26</f>
        <v>1339620.98</v>
      </c>
      <c r="L26" s="43"/>
      <c r="M26" s="66"/>
      <c r="N26" s="33">
        <f>'ТСЖ 4 кв.2024г.'!N26</f>
        <v>532320</v>
      </c>
      <c r="O26" s="105">
        <f t="shared" si="1"/>
        <v>807300.98</v>
      </c>
      <c r="P26" s="44">
        <v>235115.53</v>
      </c>
      <c r="Q26" s="46">
        <f>K26/J26*100</f>
        <v>90.340851585010668</v>
      </c>
      <c r="S26" s="93">
        <f t="shared" si="2"/>
        <v>143230.8600000001</v>
      </c>
      <c r="T26" s="93">
        <f t="shared" si="3"/>
        <v>201929.01999999981</v>
      </c>
      <c r="V26" s="124">
        <v>46666.92</v>
      </c>
      <c r="W26" s="124">
        <v>7602.59</v>
      </c>
      <c r="X26" s="126"/>
      <c r="Y26" s="126"/>
      <c r="Z26" s="124">
        <v>54698.559999999998</v>
      </c>
      <c r="AA26" s="124">
        <v>139.76</v>
      </c>
      <c r="AB26" s="48"/>
      <c r="AC26" s="49">
        <f t="shared" si="4"/>
        <v>46666.986000000004</v>
      </c>
      <c r="AD26" s="48">
        <f t="shared" si="5"/>
        <v>-6.6000000006170012E-2</v>
      </c>
    </row>
    <row r="27" spans="1:30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7.34</v>
      </c>
      <c r="H27" s="33">
        <f>'ТСЖ 4 кв.2024г.'!H27-'ТСЖ 4 кв.2024г.'!I27+X27+V27+W27</f>
        <v>212032.46</v>
      </c>
      <c r="I27" s="33">
        <f t="shared" si="0"/>
        <v>34641.560000000005</v>
      </c>
      <c r="J27" s="33">
        <f>'ТСЖ 4 кв.2024г.'!J27+Z27+AA27+X27</f>
        <v>1470498.81</v>
      </c>
      <c r="K27" s="33">
        <f>'ТСЖ 4 кв.2024г.'!K27+'ТСЖ 1 кв.2025г.'!I27</f>
        <v>1338156.0000000002</v>
      </c>
      <c r="L27" s="43"/>
      <c r="M27" s="66"/>
      <c r="N27" s="33">
        <f>'ТСЖ 4 кв.2024г.'!N27</f>
        <v>475020</v>
      </c>
      <c r="O27" s="105">
        <f t="shared" si="1"/>
        <v>863136.00000000023</v>
      </c>
      <c r="P27" s="44">
        <v>287247.24</v>
      </c>
      <c r="Q27" s="46">
        <f>K27/J27*100</f>
        <v>91.000141645813386</v>
      </c>
      <c r="S27" s="93">
        <f t="shared" si="2"/>
        <v>132342.80999999982</v>
      </c>
      <c r="T27" s="93">
        <f t="shared" si="3"/>
        <v>177390.9</v>
      </c>
      <c r="V27" s="124">
        <v>46120.89</v>
      </c>
      <c r="W27" s="124">
        <v>6081.65</v>
      </c>
      <c r="X27" s="126"/>
      <c r="Y27" s="126"/>
      <c r="Z27" s="124">
        <v>34637.83</v>
      </c>
      <c r="AA27" s="124">
        <v>3.73</v>
      </c>
      <c r="AB27" s="48"/>
      <c r="AC27" s="49">
        <f t="shared" si="4"/>
        <v>46120.89</v>
      </c>
      <c r="AD27" s="48">
        <f t="shared" si="5"/>
        <v>0</v>
      </c>
    </row>
    <row r="28" spans="1:30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7.34</v>
      </c>
      <c r="H28" s="33">
        <f>'ТСЖ 4 кв.2024г.'!H28-'ТСЖ 4 кв.2024г.'!I28+X28+V28+W28</f>
        <v>137859.35000000003</v>
      </c>
      <c r="I28" s="33">
        <f t="shared" si="0"/>
        <v>62508.31</v>
      </c>
      <c r="J28" s="33">
        <f>'ТСЖ 4 кв.2024г.'!J28+Z28+AA28+X28</f>
        <v>2341236.66</v>
      </c>
      <c r="K28" s="33">
        <f>'ТСЖ 4 кв.2024г.'!K28+'ТСЖ 1 кв.2025г.'!I28</f>
        <v>2222477.3499999996</v>
      </c>
      <c r="L28" s="43"/>
      <c r="M28" s="66"/>
      <c r="N28" s="33">
        <f>'ТСЖ 4 кв.2024г.'!N28</f>
        <v>774822</v>
      </c>
      <c r="O28" s="105">
        <f t="shared" si="1"/>
        <v>1447655.3499999996</v>
      </c>
      <c r="P28" s="44">
        <v>354498.41</v>
      </c>
      <c r="Q28" s="46">
        <f t="shared" si="6"/>
        <v>94.927496564999089</v>
      </c>
      <c r="S28" s="93">
        <f t="shared" si="2"/>
        <v>120478.18000000052</v>
      </c>
      <c r="T28" s="93">
        <f t="shared" si="3"/>
        <v>75351.040000000037</v>
      </c>
      <c r="U28" s="127">
        <v>1296.3699999999999</v>
      </c>
      <c r="V28" s="124">
        <v>71027.759999999995</v>
      </c>
      <c r="W28" s="124">
        <v>4092.4</v>
      </c>
      <c r="X28" s="126">
        <v>1718.87</v>
      </c>
      <c r="Y28" s="126"/>
      <c r="Z28" s="124">
        <v>57382.27</v>
      </c>
      <c r="AA28" s="124">
        <v>3407.17</v>
      </c>
      <c r="AB28" s="48"/>
      <c r="AC28" s="49">
        <f t="shared" si="4"/>
        <v>71027.712</v>
      </c>
      <c r="AD28" s="48">
        <f t="shared" si="5"/>
        <v>4.7999999995226972E-2</v>
      </c>
    </row>
    <row r="29" spans="1:30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7.34</v>
      </c>
      <c r="H29" s="33">
        <f>'ТСЖ 4 кв.2024г.'!H29-'ТСЖ 4 кв.2024г.'!I29+X29+V29+W29</f>
        <v>201348.03999999992</v>
      </c>
      <c r="I29" s="33">
        <f t="shared" si="0"/>
        <v>45131.149999999994</v>
      </c>
      <c r="J29" s="33">
        <f>'ТСЖ 4 кв.2024г.'!J29+Z29+AA29+X29</f>
        <v>1507673.3799999992</v>
      </c>
      <c r="K29" s="33">
        <f>'ТСЖ 4 кв.2024г.'!K29+'ТСЖ 1 кв.2025г.'!I29</f>
        <v>1382178.52</v>
      </c>
      <c r="L29" s="43"/>
      <c r="M29" s="66"/>
      <c r="N29" s="33">
        <f>'ТСЖ 4 кв.2024г.'!N29</f>
        <v>721587</v>
      </c>
      <c r="O29" s="105">
        <f t="shared" si="1"/>
        <v>660591.52</v>
      </c>
      <c r="P29" s="44">
        <v>309141.18</v>
      </c>
      <c r="Q29" s="46">
        <f>K29/J29*100</f>
        <v>91.676256829579415</v>
      </c>
      <c r="S29" s="48">
        <f t="shared" si="2"/>
        <v>125494.85999999917</v>
      </c>
      <c r="T29" s="48">
        <f t="shared" si="3"/>
        <v>156216.88999999993</v>
      </c>
      <c r="V29" s="124">
        <v>47023.71</v>
      </c>
      <c r="W29" s="124">
        <v>5469.63</v>
      </c>
      <c r="X29" s="125"/>
      <c r="Y29" s="125"/>
      <c r="Z29" s="124">
        <v>44754.2</v>
      </c>
      <c r="AA29" s="124">
        <v>376.95</v>
      </c>
      <c r="AB29" s="48"/>
      <c r="AC29" s="49">
        <f t="shared" si="4"/>
        <v>47023.71</v>
      </c>
      <c r="AD29" s="48">
        <f t="shared" si="5"/>
        <v>0</v>
      </c>
    </row>
    <row r="30" spans="1:30" ht="12.75" customHeight="1">
      <c r="A30" s="2"/>
      <c r="O30" s="137">
        <f>SUM(O15:O29)</f>
        <v>16921721.02</v>
      </c>
      <c r="S30" s="3">
        <f>SUM(S15:S29)</f>
        <v>1788814.1699999988</v>
      </c>
      <c r="V30" s="3"/>
      <c r="W30" s="3"/>
      <c r="Z30" s="3">
        <f>SUM(Z15:Z29)</f>
        <v>702786.6599999998</v>
      </c>
      <c r="AA30" s="3">
        <f>SUM(AA15:AA29)</f>
        <v>8789.58</v>
      </c>
    </row>
    <row r="31" spans="1:30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SUBTOTAL(9,V29,V28,V27,V26,V25,V24,V23,V22,V21,V20,V19,V18,V17,V16,V15)</f>
        <v>762176.01</v>
      </c>
      <c r="W31" s="3">
        <f>SUBTOTAL(9,W29,W28,W27,W26,W25,W24,W23,W22,W21,W20,W19,W18,W17,W16,W15)</f>
        <v>68908.62</v>
      </c>
      <c r="X31" s="3"/>
    </row>
    <row r="32" spans="1:30" ht="18.75" customHeight="1">
      <c r="A32" s="2"/>
      <c r="B32" s="107" t="s">
        <v>164</v>
      </c>
      <c r="C32" s="182" t="s">
        <v>489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t="15.75">
      <c r="A33" s="2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</row>
    <row r="34" spans="1:27" s="27" customFormat="1" ht="15.75">
      <c r="A34" s="123" t="str">
        <f>' 1 кв. 2025г.'!A37</f>
        <v>04 апреля 2025г.</v>
      </c>
      <c r="I34" s="28"/>
      <c r="Z34" s="28"/>
      <c r="AA34" s="28"/>
    </row>
    <row r="35" spans="1:27" s="27" customFormat="1" ht="15.75">
      <c r="A35" s="4"/>
      <c r="I35" s="28"/>
      <c r="Z35" s="28"/>
      <c r="AA35" s="28"/>
    </row>
    <row r="36" spans="1:27" s="27" customFormat="1" ht="15.75">
      <c r="A36" s="4"/>
      <c r="I36" s="28"/>
      <c r="Z36" s="28"/>
      <c r="AA36" s="28"/>
    </row>
    <row r="37" spans="1:27" s="27" customFormat="1" ht="15.75">
      <c r="A37" s="4" t="s">
        <v>47</v>
      </c>
      <c r="I37" s="28"/>
      <c r="Z37" s="28"/>
      <c r="AA37" s="28"/>
    </row>
    <row r="38" spans="1:27" s="27" customFormat="1" ht="15.75">
      <c r="A38" s="30" t="s">
        <v>48</v>
      </c>
      <c r="I38" s="28"/>
      <c r="Z38" s="28"/>
      <c r="AA38" s="28"/>
    </row>
    <row r="39" spans="1:27">
      <c r="A39" s="1"/>
    </row>
    <row r="40" spans="1:27">
      <c r="A40" s="1"/>
      <c r="K40" s="3"/>
    </row>
    <row r="41" spans="1:27">
      <c r="A41" s="1"/>
    </row>
    <row r="42" spans="1:27">
      <c r="A42" s="1"/>
    </row>
    <row r="43" spans="1:27">
      <c r="A43" s="1"/>
    </row>
    <row r="44" spans="1:27">
      <c r="A44" s="1"/>
    </row>
    <row r="45" spans="1:27">
      <c r="A45" s="1"/>
    </row>
    <row r="46" spans="1:27">
      <c r="A46" s="1"/>
    </row>
    <row r="47" spans="1:27">
      <c r="A47" s="1"/>
    </row>
    <row r="48" spans="1:27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autoFilter ref="A13:AA32">
    <filterColumn colId="2"/>
  </autoFilter>
  <mergeCells count="25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C32:O32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13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28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0.42578125" style="13" customWidth="1"/>
    <col min="15" max="15" width="13.42578125" style="13" customWidth="1"/>
    <col min="16" max="16" width="6.710937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2" ht="11.2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2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2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2" ht="15.75">
      <c r="A4" s="158" t="s">
        <v>259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2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2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2" ht="15.75">
      <c r="A7" s="1" t="s">
        <v>7</v>
      </c>
      <c r="D7" s="18" t="s">
        <v>51</v>
      </c>
      <c r="E7" s="17"/>
      <c r="F7" s="17"/>
      <c r="G7" s="17"/>
      <c r="H7" s="17"/>
    </row>
    <row r="8" spans="1:22">
      <c r="A8" s="1" t="s">
        <v>8</v>
      </c>
    </row>
    <row r="9" spans="1:22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2" ht="15.75">
      <c r="A10" s="18" t="s">
        <v>61</v>
      </c>
    </row>
    <row r="11" spans="1:22" ht="15.75">
      <c r="A11" s="18" t="s">
        <v>62</v>
      </c>
    </row>
    <row r="12" spans="1:22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</row>
    <row r="13" spans="1:22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</row>
    <row r="14" spans="1:22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</row>
    <row r="15" spans="1:22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</row>
    <row r="16" spans="1:22" s="15" customFormat="1" ht="30">
      <c r="A16" s="32">
        <v>1</v>
      </c>
      <c r="B16" s="32" t="s">
        <v>28</v>
      </c>
      <c r="C16" s="32" t="s">
        <v>52</v>
      </c>
      <c r="D16" s="32">
        <v>2001</v>
      </c>
      <c r="E16" s="32"/>
      <c r="F16" s="33">
        <v>9312.5</v>
      </c>
      <c r="G16" s="32">
        <v>5.3</v>
      </c>
      <c r="H16" s="33">
        <f>'УК 2 кв. 2020г.'!H16-'УК 2 кв. 2020г.'!I16+V16</f>
        <v>335942.02999999991</v>
      </c>
      <c r="I16" s="33">
        <v>131317.26999999999</v>
      </c>
      <c r="J16" s="33">
        <f>'УК 2 кв. 2020г.'!J16+V16</f>
        <v>3551165.5399999996</v>
      </c>
      <c r="K16" s="33">
        <f>'УК 2 кв. 2020г.'!K16+'УК 3 кв. 2020г.'!I16</f>
        <v>3427317.4699999997</v>
      </c>
      <c r="L16" s="64"/>
      <c r="M16" s="47"/>
      <c r="N16" s="33">
        <v>894970.86</v>
      </c>
      <c r="O16" s="33">
        <f>K16-N16</f>
        <v>2532346.61</v>
      </c>
      <c r="P16" s="102">
        <f>K16/J16*100</f>
        <v>96.51246700259432</v>
      </c>
      <c r="R16" s="19">
        <f>J16-K16</f>
        <v>123848.06999999983</v>
      </c>
      <c r="S16" s="19">
        <f>H16-I16</f>
        <v>204624.75999999992</v>
      </c>
      <c r="V16" s="15">
        <v>148068.78</v>
      </c>
    </row>
    <row r="17" spans="1:22" s="15" customFormat="1" ht="48.75" customHeight="1">
      <c r="A17" s="32">
        <v>1</v>
      </c>
      <c r="B17" s="32" t="s">
        <v>28</v>
      </c>
      <c r="C17" s="32" t="s">
        <v>57</v>
      </c>
      <c r="D17" s="32">
        <v>2011</v>
      </c>
      <c r="E17" s="32"/>
      <c r="F17" s="32" t="s">
        <v>58</v>
      </c>
      <c r="G17" s="32">
        <v>7.32</v>
      </c>
      <c r="H17" s="33">
        <f>'УК 2 кв. 2020г.'!H17-'УК 2 кв. 2020г.'!I17+V17</f>
        <v>149401.26</v>
      </c>
      <c r="I17" s="33">
        <v>84840.2</v>
      </c>
      <c r="J17" s="33">
        <f>'УК 2 кв. 2020г.'!J17+V17</f>
        <v>882507.43</v>
      </c>
      <c r="K17" s="33">
        <f>'УК 2 кв. 2020г.'!K17+'УК 3 кв. 2020г.'!I17</f>
        <v>817946.37</v>
      </c>
      <c r="L17" s="32"/>
      <c r="M17" s="32"/>
      <c r="N17" s="33"/>
      <c r="O17" s="33">
        <f>K17-N17</f>
        <v>817946.37</v>
      </c>
      <c r="P17" s="102">
        <f>K17/J17*100</f>
        <v>92.684360742435899</v>
      </c>
      <c r="R17" s="19">
        <f>J17-K17</f>
        <v>64561.060000000056</v>
      </c>
      <c r="S17" s="19">
        <f>H17-I17</f>
        <v>64561.060000000012</v>
      </c>
      <c r="V17" s="15">
        <v>67431.91</v>
      </c>
    </row>
    <row r="18" spans="1:22" s="15" customFormat="1" ht="42" customHeight="1">
      <c r="A18" s="32">
        <v>1</v>
      </c>
      <c r="B18" s="32" t="s">
        <v>28</v>
      </c>
      <c r="C18" s="32" t="s">
        <v>91</v>
      </c>
      <c r="D18" s="32">
        <v>2012</v>
      </c>
      <c r="E18" s="32"/>
      <c r="F18" s="33">
        <v>2517.1</v>
      </c>
      <c r="G18" s="32">
        <v>7.32</v>
      </c>
      <c r="H18" s="33">
        <f>'УК 2 кв. 2020г.'!H18-'УК 2 кв. 2020г.'!I18+V18</f>
        <v>526321.28</v>
      </c>
      <c r="I18" s="33">
        <v>38405.160000000003</v>
      </c>
      <c r="J18" s="33">
        <f>'УК 2 кв. 2020г.'!J18+V18</f>
        <v>1305761.19</v>
      </c>
      <c r="K18" s="33">
        <f>'УК 2 кв. 2020г.'!K18+'УК 3 кв. 2020г.'!I18</f>
        <v>817845.07000000007</v>
      </c>
      <c r="L18" s="34"/>
      <c r="M18" s="89"/>
      <c r="N18" s="33">
        <f>'УК 2 кв. 2020г.'!N18</f>
        <v>150967</v>
      </c>
      <c r="O18" s="33">
        <f>K18-N18</f>
        <v>666878.07000000007</v>
      </c>
      <c r="P18" s="102">
        <f>K18/J18*100</f>
        <v>62.63358692717771</v>
      </c>
      <c r="R18" s="19">
        <f>J18-K18</f>
        <v>487916.11999999988</v>
      </c>
      <c r="S18" s="19">
        <f>H18-I18</f>
        <v>487916.12</v>
      </c>
      <c r="V18" s="15">
        <v>55277.73</v>
      </c>
    </row>
    <row r="19" spans="1:22" s="15" customFormat="1" ht="48.75" customHeight="1">
      <c r="A19" s="32">
        <v>1</v>
      </c>
      <c r="B19" s="32" t="s">
        <v>28</v>
      </c>
      <c r="C19" s="32" t="s">
        <v>92</v>
      </c>
      <c r="D19" s="32">
        <v>2012</v>
      </c>
      <c r="E19" s="32"/>
      <c r="F19" s="33">
        <v>2504.1999999999998</v>
      </c>
      <c r="G19" s="32">
        <v>7.32</v>
      </c>
      <c r="H19" s="33">
        <f>'УК 2 кв. 2020г.'!H23-'УК 2 кв. 2020г.'!I23+V19</f>
        <v>341981.92999999993</v>
      </c>
      <c r="I19" s="33">
        <v>139615.94</v>
      </c>
      <c r="J19" s="33">
        <f>'УК 2 кв. 2020г.'!J23+V19</f>
        <v>1492274.4999999998</v>
      </c>
      <c r="K19" s="33">
        <f>'УК 2 кв. 2020г.'!K23+'УК 3 кв. 2020г.'!I19</f>
        <v>1289908.51</v>
      </c>
      <c r="L19" s="43"/>
      <c r="M19" s="91"/>
      <c r="N19" s="33">
        <f>'УК 2 кв. 2020г.'!N23</f>
        <v>104440.4</v>
      </c>
      <c r="O19" s="33">
        <f t="shared" ref="O19:O20" si="0">K19-N19</f>
        <v>1185468.1100000001</v>
      </c>
      <c r="P19" s="102">
        <f>K19/J19*100</f>
        <v>86.439090797303052</v>
      </c>
      <c r="R19" s="19">
        <f>J19-K19</f>
        <v>202365.98999999976</v>
      </c>
      <c r="S19" s="19">
        <f t="shared" ref="S19:S20" si="1">H19-I19</f>
        <v>202365.98999999993</v>
      </c>
      <c r="U19" s="19"/>
      <c r="V19" s="19">
        <f>59948.61-11244.21</f>
        <v>48704.4</v>
      </c>
    </row>
    <row r="20" spans="1:22" ht="30">
      <c r="A20" s="32">
        <v>1</v>
      </c>
      <c r="B20" s="32" t="s">
        <v>28</v>
      </c>
      <c r="C20" s="32" t="s">
        <v>152</v>
      </c>
      <c r="D20" s="32">
        <v>2007</v>
      </c>
      <c r="E20" s="32"/>
      <c r="F20" s="33">
        <v>2915.6</v>
      </c>
      <c r="G20" s="32">
        <v>7.32</v>
      </c>
      <c r="H20" s="33">
        <f>'УК 2 кв. 2020г.'!H26-'УК 2 кв. 2020г.'!I26+V20</f>
        <v>411551.83999999991</v>
      </c>
      <c r="I20" s="33">
        <v>120889.35</v>
      </c>
      <c r="J20" s="33">
        <f>'УК 2 кв. 2020г.'!J26+V20</f>
        <v>1959230.9899999998</v>
      </c>
      <c r="K20" s="33">
        <f>'УК 2 кв. 2020г.'!K26+'УК 3 кв. 2020г.'!I20</f>
        <v>1289310.3400000001</v>
      </c>
      <c r="L20" s="32"/>
      <c r="M20" s="32"/>
      <c r="N20" s="33">
        <f>'УК 2 кв. 2020г.'!N26+N21</f>
        <v>327173</v>
      </c>
      <c r="O20" s="33">
        <f t="shared" si="0"/>
        <v>962137.34000000008</v>
      </c>
      <c r="P20" s="102">
        <f>K20/J20*100</f>
        <v>65.806959290696</v>
      </c>
      <c r="R20" s="19">
        <f>J20-K20</f>
        <v>669920.64999999967</v>
      </c>
      <c r="S20" s="19">
        <f t="shared" si="1"/>
        <v>290662.48999999987</v>
      </c>
      <c r="V20" s="13">
        <v>64094.67</v>
      </c>
    </row>
    <row r="21" spans="1:22" s="15" customFormat="1" ht="43.5" customHeight="1">
      <c r="A21" s="32"/>
      <c r="B21" s="32"/>
      <c r="C21" s="32"/>
      <c r="D21" s="32"/>
      <c r="E21" s="32"/>
      <c r="F21" s="33"/>
      <c r="G21" s="32"/>
      <c r="H21" s="33"/>
      <c r="I21" s="33"/>
      <c r="J21" s="33"/>
      <c r="K21" s="33"/>
      <c r="L21" s="94" t="s">
        <v>262</v>
      </c>
      <c r="M21" s="89" t="s">
        <v>263</v>
      </c>
      <c r="N21" s="33">
        <v>146766</v>
      </c>
      <c r="O21" s="33"/>
      <c r="P21" s="102"/>
      <c r="R21" s="19"/>
      <c r="S21" s="19"/>
    </row>
    <row r="22" spans="1:22">
      <c r="A22" s="67"/>
      <c r="B22" s="67"/>
      <c r="C22" s="67"/>
      <c r="D22" s="67"/>
      <c r="E22" s="67"/>
      <c r="F22" s="68"/>
      <c r="G22" s="67"/>
      <c r="H22" s="68"/>
      <c r="I22" s="68"/>
      <c r="J22" s="68"/>
      <c r="K22" s="68"/>
      <c r="L22" s="67"/>
      <c r="M22" s="67"/>
      <c r="N22" s="67"/>
      <c r="O22" s="68"/>
      <c r="P22" s="63"/>
    </row>
    <row r="23" spans="1:22" s="17" customFormat="1" ht="15.75">
      <c r="A23" s="4" t="s">
        <v>64</v>
      </c>
      <c r="C23" s="90"/>
      <c r="D23" s="90"/>
      <c r="E23" s="90"/>
      <c r="F23" s="90"/>
      <c r="G23" s="90"/>
      <c r="H23" s="90"/>
      <c r="I23" s="90"/>
      <c r="J23" s="90"/>
      <c r="K23" s="90"/>
      <c r="L23" s="4"/>
      <c r="P23" s="62"/>
    </row>
    <row r="24" spans="1:22" s="17" customFormat="1" ht="15.75">
      <c r="A24" s="4"/>
      <c r="C24" s="90" t="s">
        <v>264</v>
      </c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90" t="s">
        <v>265</v>
      </c>
      <c r="D25" s="69"/>
      <c r="E25" s="69"/>
      <c r="F25" s="69"/>
      <c r="G25" s="69"/>
      <c r="H25" s="69"/>
      <c r="I25" s="69"/>
      <c r="J25" s="69"/>
      <c r="K25" s="69"/>
      <c r="P25" s="62"/>
    </row>
    <row r="26" spans="1:22" s="70" customFormat="1" ht="15.75">
      <c r="C26" s="90" t="s">
        <v>266</v>
      </c>
      <c r="D26" s="69"/>
      <c r="E26" s="69"/>
      <c r="F26" s="69"/>
      <c r="G26" s="69"/>
      <c r="H26" s="69"/>
      <c r="I26" s="69"/>
      <c r="J26" s="69"/>
      <c r="K26" s="69"/>
      <c r="P26" s="71"/>
    </row>
    <row r="27" spans="1:22" s="17" customFormat="1" ht="15.75">
      <c r="A27" s="4"/>
      <c r="C27" s="90" t="s">
        <v>267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/>
      <c r="C28" s="13" t="s">
        <v>268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2" s="17" customFormat="1" ht="15.75">
      <c r="A29" s="4"/>
      <c r="C29" s="13" t="s">
        <v>269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2" s="17" customFormat="1" ht="15.75">
      <c r="A30" s="4"/>
      <c r="C30" s="13" t="s">
        <v>270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2" s="17" customFormat="1" ht="15.75">
      <c r="A31" s="4"/>
      <c r="C31" s="13" t="s">
        <v>271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2" s="17" customFormat="1" ht="15.75">
      <c r="A32" s="4"/>
      <c r="C32" s="13" t="s">
        <v>272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>
      <c r="A33" s="4"/>
      <c r="C33" s="13"/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>
      <c r="A34" s="4"/>
      <c r="C34" s="13"/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>
      <c r="A35" s="4" t="s">
        <v>260</v>
      </c>
      <c r="P35" s="62"/>
    </row>
    <row r="36" spans="1:16" s="17" customFormat="1" ht="15.75">
      <c r="A36" s="4" t="s">
        <v>59</v>
      </c>
      <c r="P36" s="62"/>
    </row>
    <row r="37" spans="1:16" s="17" customFormat="1" ht="15.75">
      <c r="A37" s="4"/>
      <c r="P37" s="62"/>
    </row>
    <row r="38" spans="1:16">
      <c r="A38" s="2" t="s">
        <v>48</v>
      </c>
    </row>
  </sheetData>
  <mergeCells count="25">
    <mergeCell ref="P12:P14"/>
    <mergeCell ref="A1:P1"/>
    <mergeCell ref="A2:P2"/>
    <mergeCell ref="G12:G14"/>
    <mergeCell ref="H12:I12"/>
    <mergeCell ref="J12:K12"/>
    <mergeCell ref="L12:N12"/>
    <mergeCell ref="O12:O14"/>
    <mergeCell ref="H13:H14"/>
    <mergeCell ref="I13:I14"/>
    <mergeCell ref="J13:J14"/>
    <mergeCell ref="K13:K14"/>
    <mergeCell ref="L13:L14"/>
    <mergeCell ref="A12:A14"/>
    <mergeCell ref="A3:O3"/>
    <mergeCell ref="A4:O4"/>
    <mergeCell ref="N13:N14"/>
    <mergeCell ref="D6:M6"/>
    <mergeCell ref="D9:L9"/>
    <mergeCell ref="B12:B14"/>
    <mergeCell ref="C12:C14"/>
    <mergeCell ref="D12:D14"/>
    <mergeCell ref="E12:E14"/>
    <mergeCell ref="F12:F14"/>
    <mergeCell ref="M13:M14"/>
  </mergeCells>
  <pageMargins left="0.78740157480314965" right="0.39370078740157483" top="0.39370078740157483" bottom="0.35433070866141736" header="0.31496062992125984" footer="0.31496062992125984"/>
  <pageSetup paperSize="9" scale="63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4" workbookViewId="0">
      <selection activeCell="N16" sqref="N16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5" max="25" width="9.5703125" bestFit="1" customWidth="1"/>
  </cols>
  <sheetData>
    <row r="1" spans="1:25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5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5" s="13" customFormat="1" ht="15.75">
      <c r="A3" s="187" t="str">
        <f>'УК 3 кв. 2020г.'!A4:O4</f>
        <v xml:space="preserve">по состоянию за 3 квартал 2020 года на 01 октября 2020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5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5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5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5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5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5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5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5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5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5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5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5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2 кв.2020г.'!H15-'ТСЖ 2 кв.2020г.'!I15+'ТСЖ 3 кв.2020г.'!Y15+W15</f>
        <v>368114.30000000005</v>
      </c>
      <c r="I15" s="33">
        <f>66747.66+992.83+W15</f>
        <v>69087.78</v>
      </c>
      <c r="J15" s="33">
        <f>'ТСЖ 2 кв.2020г.'!J15+'ТСЖ 3 кв.2020г.'!Y15</f>
        <v>1845639.02</v>
      </c>
      <c r="K15" s="33">
        <f>'ТСЖ 2 кв.2020г.'!K15+'ТСЖ 3 кв.2020г.'!I15</f>
        <v>1551044.87</v>
      </c>
      <c r="L15" s="43"/>
      <c r="M15" s="66"/>
      <c r="N15" s="33">
        <v>426357.21</v>
      </c>
      <c r="O15" s="33">
        <f>K15-V15</f>
        <v>1124687.6600000001</v>
      </c>
      <c r="P15" s="74">
        <v>520817.08</v>
      </c>
      <c r="Q15" s="46">
        <f>K15/J15*100</f>
        <v>84.038365747165457</v>
      </c>
      <c r="S15" s="48">
        <f>J15-K15+W15</f>
        <v>295941.43999999989</v>
      </c>
      <c r="T15" s="48">
        <f>H15-I15</f>
        <v>299026.52</v>
      </c>
      <c r="V15" s="48">
        <v>426357.21</v>
      </c>
      <c r="W15" s="49">
        <v>1347.29</v>
      </c>
      <c r="Y15" s="49">
        <v>75529.77</v>
      </c>
    </row>
    <row r="16" spans="1:25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2 кв.2020г.'!H16-'ТСЖ 2 кв.2020г.'!I16+'ТСЖ 3 кв.2020г.'!Y16+W16</f>
        <v>82818.960000000006</v>
      </c>
      <c r="I16" s="33">
        <f>15795.26+0.43</f>
        <v>15795.69</v>
      </c>
      <c r="J16" s="33">
        <f>'ТСЖ 2 кв.2020г.'!J16+'ТСЖ 3 кв.2020г.'!Y16</f>
        <v>740014.71000000008</v>
      </c>
      <c r="K16" s="33">
        <f>'ТСЖ 2 кв.2020г.'!K16+'ТСЖ 3 кв.2020г.'!I16</f>
        <v>672991.44</v>
      </c>
      <c r="L16" s="43"/>
      <c r="M16" s="66"/>
      <c r="N16" s="33">
        <v>221688.82</v>
      </c>
      <c r="O16" s="33">
        <f t="shared" ref="O16:O18" si="0">K16-V16</f>
        <v>451302.61999999994</v>
      </c>
      <c r="P16" s="78">
        <v>264064.82</v>
      </c>
      <c r="Q16" s="46">
        <f>K16/J16*100</f>
        <v>90.942981390194248</v>
      </c>
      <c r="S16" s="48">
        <f t="shared" ref="S16:S29" si="1">J16-K16+W16</f>
        <v>67023.270000000135</v>
      </c>
      <c r="T16" s="48">
        <f t="shared" ref="T16:T29" si="2">H16-I16</f>
        <v>67023.27</v>
      </c>
      <c r="V16" s="48">
        <v>221688.82</v>
      </c>
      <c r="Y16" s="49">
        <v>30349.919999999998</v>
      </c>
    </row>
    <row r="17" spans="1:25" s="49" customFormat="1" ht="30">
      <c r="A17" s="32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2 кв.2020г.'!H17-'ТСЖ 2 кв.2020г.'!I17+'ТСЖ 3 кв.2020г.'!Y17+W17</f>
        <v>169537.92000000001</v>
      </c>
      <c r="I17" s="61">
        <f>27548.43+7.81</f>
        <v>27556.240000000002</v>
      </c>
      <c r="J17" s="33">
        <f>'ТСЖ 2 кв.2020г.'!J17+'ТСЖ 3 кв.2020г.'!Y17</f>
        <v>758279.67999999982</v>
      </c>
      <c r="K17" s="33">
        <f>'ТСЖ 2 кв.2020г.'!K17+'ТСЖ 3 кв.2020г.'!I17</f>
        <v>616298</v>
      </c>
      <c r="L17" s="72"/>
      <c r="M17" s="73"/>
      <c r="N17" s="61">
        <v>476040</v>
      </c>
      <c r="O17" s="61">
        <f t="shared" si="0"/>
        <v>140258</v>
      </c>
      <c r="P17" s="74">
        <v>253163.82</v>
      </c>
      <c r="Q17" s="65">
        <f>K17/J17*100</f>
        <v>81.275816332042567</v>
      </c>
      <c r="S17" s="48">
        <f t="shared" si="1"/>
        <v>141981.67999999982</v>
      </c>
      <c r="T17" s="48">
        <f t="shared" si="2"/>
        <v>141981.68000000002</v>
      </c>
      <c r="V17" s="48">
        <v>476040</v>
      </c>
      <c r="Y17" s="49">
        <v>30962.07</v>
      </c>
    </row>
    <row r="18" spans="1:25" s="49" customFormat="1" ht="63.75" customHeight="1" thickBot="1">
      <c r="A18" s="32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2 кв.2020г.'!H18-'ТСЖ 2 кв.2020г.'!I18+'ТСЖ 3 кв.2020г.'!Y18+W18</f>
        <v>277903.61000000004</v>
      </c>
      <c r="I18" s="61">
        <v>55986.01</v>
      </c>
      <c r="J18" s="33">
        <f>'ТСЖ 2 кв.2020г.'!J18+'ТСЖ 3 кв.2020г.'!Y18</f>
        <v>1159526.8599999999</v>
      </c>
      <c r="K18" s="33">
        <f>'ТСЖ 2 кв.2020г.'!K18+'ТСЖ 3 кв.2020г.'!I18</f>
        <v>937609.26</v>
      </c>
      <c r="L18" s="72"/>
      <c r="M18" s="73"/>
      <c r="N18" s="61">
        <f>V18</f>
        <v>731630</v>
      </c>
      <c r="O18" s="33">
        <f t="shared" si="0"/>
        <v>205979.26</v>
      </c>
      <c r="P18" s="44">
        <v>378042.71</v>
      </c>
      <c r="Q18" s="65">
        <f t="shared" ref="Q18:Q29" si="3">K18/J18*100</f>
        <v>80.861366161021934</v>
      </c>
      <c r="S18" s="48">
        <f t="shared" si="1"/>
        <v>221917.59999999986</v>
      </c>
      <c r="T18" s="48">
        <f t="shared" si="2"/>
        <v>221917.60000000003</v>
      </c>
      <c r="V18" s="48">
        <v>731630</v>
      </c>
      <c r="Y18" s="49">
        <v>47437.65</v>
      </c>
    </row>
    <row r="19" spans="1:25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2 кв.2020г.'!H19-'ТСЖ 2 кв.2020г.'!I19+'ТСЖ 3 кв.2020г.'!Y19+W19</f>
        <v>123625.60999999999</v>
      </c>
      <c r="I19" s="33">
        <v>24898.27</v>
      </c>
      <c r="J19" s="33">
        <f>'ТСЖ 2 кв.2020г.'!J19+'ТСЖ 3 кв.2020г.'!Y19</f>
        <v>660751.27999999991</v>
      </c>
      <c r="K19" s="33">
        <f>'ТСЖ 2 кв.2020г.'!K19+'ТСЖ 3 кв.2020г.'!I19</f>
        <v>562023.94000000006</v>
      </c>
      <c r="L19" s="43"/>
      <c r="M19" s="66"/>
      <c r="N19" s="33">
        <v>230810</v>
      </c>
      <c r="O19" s="33">
        <f>K19-N19</f>
        <v>331213.94000000006</v>
      </c>
      <c r="P19" s="44">
        <v>252978.03</v>
      </c>
      <c r="Q19" s="46">
        <f>K19/J19*100</f>
        <v>85.05832028051465</v>
      </c>
      <c r="S19" s="93">
        <f t="shared" si="1"/>
        <v>98727.339999999851</v>
      </c>
      <c r="T19" s="93">
        <f t="shared" si="2"/>
        <v>98727.339999999982</v>
      </c>
      <c r="V19" s="93">
        <v>230810</v>
      </c>
      <c r="Y19" s="92">
        <v>27025.23</v>
      </c>
    </row>
    <row r="20" spans="1:25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2 кв.2020г.'!H20-'ТСЖ 2 кв.2020г.'!I20+'ТСЖ 3 кв.2020г.'!Y20+W20</f>
        <v>84276.459999999992</v>
      </c>
      <c r="I20" s="33">
        <v>15737.71</v>
      </c>
      <c r="J20" s="33">
        <f>'ТСЖ 2 кв.2020г.'!J20+'ТСЖ 3 кв.2020г.'!Y20</f>
        <v>461774.49999999994</v>
      </c>
      <c r="K20" s="33">
        <f>'ТСЖ 2 кв.2020г.'!K20+'ТСЖ 3 кв.2020г.'!I20</f>
        <v>393235.75</v>
      </c>
      <c r="L20" s="43"/>
      <c r="M20" s="66"/>
      <c r="N20" s="33">
        <v>208003.99</v>
      </c>
      <c r="O20" s="33">
        <f t="shared" ref="O20:O29" si="4">K20-N20</f>
        <v>185231.76</v>
      </c>
      <c r="P20" s="74">
        <v>124839.69</v>
      </c>
      <c r="Q20" s="46">
        <f t="shared" si="3"/>
        <v>85.157528187459476</v>
      </c>
      <c r="S20" s="93">
        <f t="shared" si="1"/>
        <v>68538.749999999942</v>
      </c>
      <c r="T20" s="93">
        <f t="shared" si="2"/>
        <v>68538.75</v>
      </c>
      <c r="V20" s="93">
        <v>208003.99</v>
      </c>
      <c r="Y20" s="92">
        <v>18905.099999999999</v>
      </c>
    </row>
    <row r="21" spans="1:25" s="92" customFormat="1" ht="52.5" customHeight="1" thickBot="1">
      <c r="A21" s="32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2 кв.2020г.'!H21-'ТСЖ 2 кв.2020г.'!I21+'ТСЖ 3 кв.2020г.'!Y21+W21</f>
        <v>146929.94999999995</v>
      </c>
      <c r="I21" s="61">
        <v>33362.83</v>
      </c>
      <c r="J21" s="33">
        <f>'ТСЖ 2 кв.2020г.'!J21+'ТСЖ 3 кв.2020г.'!Y21</f>
        <v>936450.75</v>
      </c>
      <c r="K21" s="33">
        <f>'ТСЖ 2 кв.2020г.'!K21+'ТСЖ 3 кв.2020г.'!I21</f>
        <v>822883.62999999989</v>
      </c>
      <c r="L21" s="72"/>
      <c r="M21" s="61"/>
      <c r="N21" s="61"/>
      <c r="O21" s="61">
        <f t="shared" si="4"/>
        <v>822883.62999999989</v>
      </c>
      <c r="P21" s="44">
        <v>388089.32</v>
      </c>
      <c r="Q21" s="65">
        <f t="shared" si="3"/>
        <v>87.872600881573319</v>
      </c>
      <c r="S21" s="93">
        <f t="shared" si="1"/>
        <v>113567.12000000011</v>
      </c>
      <c r="T21" s="93">
        <f t="shared" si="2"/>
        <v>113567.11999999995</v>
      </c>
      <c r="Y21" s="92">
        <v>38605.53</v>
      </c>
    </row>
    <row r="22" spans="1:25" s="92" customFormat="1" ht="72" customHeight="1">
      <c r="A22" s="32">
        <v>1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2 кв.2020г.'!H22-'ТСЖ 2 кв.2020г.'!I22+'ТСЖ 3 кв.2020г.'!Y22+W22</f>
        <v>88395.780000000013</v>
      </c>
      <c r="I22" s="33">
        <v>35098.39</v>
      </c>
      <c r="J22" s="33">
        <f>'ТСЖ 2 кв.2020г.'!J22+'ТСЖ 3 кв.2020г.'!Y22</f>
        <v>806587.04999999993</v>
      </c>
      <c r="K22" s="33">
        <f>'ТСЖ 2 кв.2020г.'!K22+'ТСЖ 3 кв.2020г.'!I22</f>
        <v>753289.66</v>
      </c>
      <c r="L22" s="43"/>
      <c r="M22" s="66"/>
      <c r="N22" s="33">
        <v>236291.47</v>
      </c>
      <c r="O22" s="33">
        <f t="shared" si="4"/>
        <v>516998.19000000006</v>
      </c>
      <c r="P22" s="74">
        <v>223464.31</v>
      </c>
      <c r="Q22" s="46">
        <f>K22/J22*100</f>
        <v>93.392233361544811</v>
      </c>
      <c r="S22" s="93">
        <f t="shared" si="1"/>
        <v>53297.389999999898</v>
      </c>
      <c r="T22" s="93">
        <f t="shared" si="2"/>
        <v>53297.390000000014</v>
      </c>
      <c r="V22" s="93">
        <f>N22</f>
        <v>236291.47</v>
      </c>
      <c r="Y22" s="92">
        <v>33038.61</v>
      </c>
    </row>
    <row r="23" spans="1:25" s="92" customFormat="1" ht="66.75" customHeight="1">
      <c r="A23" s="32">
        <v>1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2 кв.2020г.'!H23-'ТСЖ 2 кв.2020г.'!I23+'ТСЖ 3 кв.2020г.'!Y23+W23</f>
        <v>80162.590000000011</v>
      </c>
      <c r="I23" s="33">
        <f>46730.5-20000</f>
        <v>26730.5</v>
      </c>
      <c r="J23" s="33">
        <f>'ТСЖ 2 кв.2020г.'!J23+'ТСЖ 3 кв.2020г.'!Y23</f>
        <v>810604.97</v>
      </c>
      <c r="K23" s="33">
        <f>'ТСЖ 2 кв.2020г.'!K23+'ТСЖ 3 кв.2020г.'!I23</f>
        <v>757172.88</v>
      </c>
      <c r="L23" s="43"/>
      <c r="M23" s="66"/>
      <c r="N23" s="33">
        <v>236291.47</v>
      </c>
      <c r="O23" s="33">
        <f t="shared" si="4"/>
        <v>520881.41000000003</v>
      </c>
      <c r="P23" s="78">
        <v>243907.98</v>
      </c>
      <c r="Q23" s="46">
        <f t="shared" si="3"/>
        <v>93.408368813726867</v>
      </c>
      <c r="S23" s="93">
        <f t="shared" si="1"/>
        <v>53432.089999999967</v>
      </c>
      <c r="T23" s="93">
        <f t="shared" si="2"/>
        <v>53432.090000000011</v>
      </c>
      <c r="V23" s="93">
        <f t="shared" ref="V23:V29" si="5">N23</f>
        <v>236291.47</v>
      </c>
      <c r="Y23" s="92">
        <v>33221.46</v>
      </c>
    </row>
    <row r="24" spans="1:25" s="92" customFormat="1" ht="45.75" thickBot="1">
      <c r="A24" s="32">
        <v>1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33">
        <f>'ТСЖ 2 кв.2020г.'!H24-'ТСЖ 2 кв.2020г.'!I24+'ТСЖ 3 кв.2020г.'!Y24+W24</f>
        <v>182914.49000000005</v>
      </c>
      <c r="I24" s="61">
        <v>33568.239999999998</v>
      </c>
      <c r="J24" s="33">
        <f>'ТСЖ 2 кв.2020г.'!J24+'ТСЖ 3 кв.2020г.'!Y24</f>
        <v>1095709.22</v>
      </c>
      <c r="K24" s="33">
        <f>'ТСЖ 2 кв.2020г.'!K24+'ТСЖ 3 кв.2020г.'!I24</f>
        <v>946364.16999999981</v>
      </c>
      <c r="L24" s="72"/>
      <c r="M24" s="61"/>
      <c r="N24" s="61">
        <v>124391</v>
      </c>
      <c r="O24" s="33">
        <f t="shared" si="4"/>
        <v>821973.16999999981</v>
      </c>
      <c r="P24" s="44">
        <v>420551</v>
      </c>
      <c r="Q24" s="65">
        <f t="shared" si="3"/>
        <v>86.370010649358221</v>
      </c>
      <c r="S24" s="93">
        <f t="shared" si="1"/>
        <v>149345.05000000016</v>
      </c>
      <c r="T24" s="93">
        <f t="shared" si="2"/>
        <v>149346.25000000006</v>
      </c>
      <c r="V24" s="93">
        <f t="shared" si="5"/>
        <v>124391</v>
      </c>
      <c r="Y24" s="92">
        <v>44898.42</v>
      </c>
    </row>
    <row r="25" spans="1:25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2 кв.2020г.'!H25-'ТСЖ 2 кв.2020г.'!I25+'ТСЖ 3 кв.2020г.'!Y25+W25</f>
        <v>47156.720000000008</v>
      </c>
      <c r="I25" s="33">
        <v>16857.439999999999</v>
      </c>
      <c r="J25" s="33">
        <f>'ТСЖ 2 кв.2020г.'!J25+'ТСЖ 3 кв.2020г.'!Y25</f>
        <v>440178.07999999996</v>
      </c>
      <c r="K25" s="33">
        <f>'ТСЖ 2 кв.2020г.'!K25+'ТСЖ 3 кв.2020г.'!I25</f>
        <v>409878.8</v>
      </c>
      <c r="L25" s="43"/>
      <c r="M25" s="66"/>
      <c r="N25" s="33">
        <v>248930</v>
      </c>
      <c r="O25" s="33">
        <f t="shared" si="4"/>
        <v>160948.79999999999</v>
      </c>
      <c r="P25" s="44">
        <v>146097.04999999999</v>
      </c>
      <c r="Q25" s="46">
        <f t="shared" si="3"/>
        <v>93.116585905413558</v>
      </c>
      <c r="S25" s="93">
        <f t="shared" si="1"/>
        <v>30299.27999999997</v>
      </c>
      <c r="T25" s="93">
        <f t="shared" si="2"/>
        <v>30299.28000000001</v>
      </c>
      <c r="U25" s="93"/>
      <c r="V25" s="93">
        <f t="shared" si="5"/>
        <v>248930</v>
      </c>
      <c r="Y25" s="92">
        <v>18046.5</v>
      </c>
    </row>
    <row r="26" spans="1:25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2 кв.2020г.'!H26-'ТСЖ 2 кв.2020г.'!I26+'ТСЖ 3 кв.2020г.'!Y26+W26</f>
        <v>177717.63</v>
      </c>
      <c r="I26" s="33">
        <v>17612.89</v>
      </c>
      <c r="J26" s="33">
        <f>'ТСЖ 2 кв.2020г.'!J26+'ТСЖ 3 кв.2020г.'!Y26</f>
        <v>822686.85000000009</v>
      </c>
      <c r="K26" s="33">
        <f>'ТСЖ 2 кв.2020г.'!K26+'ТСЖ 3 кв.2020г.'!I26</f>
        <v>662582.1100000001</v>
      </c>
      <c r="L26" s="43"/>
      <c r="M26" s="33"/>
      <c r="N26" s="33">
        <v>455040</v>
      </c>
      <c r="O26" s="33">
        <f t="shared" si="4"/>
        <v>207542.1100000001</v>
      </c>
      <c r="P26" s="44">
        <v>235115.53</v>
      </c>
      <c r="Q26" s="46">
        <f>K26/J26*100</f>
        <v>80.538799179785116</v>
      </c>
      <c r="S26" s="93">
        <f t="shared" si="1"/>
        <v>160104.74</v>
      </c>
      <c r="T26" s="93">
        <f t="shared" si="2"/>
        <v>160104.74</v>
      </c>
      <c r="V26" s="93">
        <f t="shared" si="5"/>
        <v>455040</v>
      </c>
      <c r="Y26" s="92">
        <v>33696.870000000003</v>
      </c>
    </row>
    <row r="27" spans="1:25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'ТСЖ 2 кв.2020г.'!H27-'ТСЖ 2 кв.2020г.'!I27+'ТСЖ 3 кв.2020г.'!Y27+W27</f>
        <v>145767.98000000001</v>
      </c>
      <c r="I27" s="33">
        <v>36249.279999999999</v>
      </c>
      <c r="J27" s="33">
        <f>'ТСЖ 2 кв.2020г.'!J27+'ТСЖ 3 кв.2020г.'!Y27</f>
        <v>813670.25999999989</v>
      </c>
      <c r="K27" s="33">
        <f>'ТСЖ 2 кв.2020г.'!K27+'ТСЖ 3 кв.2020г.'!I27</f>
        <v>704151.56</v>
      </c>
      <c r="L27" s="43"/>
      <c r="M27" s="66"/>
      <c r="N27" s="33">
        <v>475020</v>
      </c>
      <c r="O27" s="33">
        <f t="shared" si="4"/>
        <v>229131.56000000006</v>
      </c>
      <c r="P27" s="44">
        <v>287247.24</v>
      </c>
      <c r="Q27" s="46">
        <f>K27/J27*100</f>
        <v>86.5401618586871</v>
      </c>
      <c r="S27" s="93">
        <f t="shared" si="1"/>
        <v>109518.69999999984</v>
      </c>
      <c r="T27" s="93">
        <f t="shared" si="2"/>
        <v>109518.70000000001</v>
      </c>
      <c r="V27" s="93">
        <f t="shared" si="5"/>
        <v>475020</v>
      </c>
      <c r="Y27" s="92">
        <v>33300.959999999999</v>
      </c>
    </row>
    <row r="28" spans="1:25" s="92" customFormat="1" ht="43.5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2 кв.2020г.'!H28-'ТСЖ 2 кв.2020г.'!I28+'ТСЖ 3 кв.2020г.'!Y28+W28</f>
        <v>267721.28000000003</v>
      </c>
      <c r="I28" s="33">
        <v>48691.47</v>
      </c>
      <c r="J28" s="33">
        <f>'ТСЖ 2 кв.2020г.'!J28+'ТСЖ 3 кв.2020г.'!Y28</f>
        <v>1253269.27</v>
      </c>
      <c r="K28" s="33">
        <f>'ТСЖ 2 кв.2020г.'!K28+'ТСЖ 3 кв.2020г.'!I28</f>
        <v>1034239.46</v>
      </c>
      <c r="L28" s="43"/>
      <c r="M28" s="33"/>
      <c r="N28" s="33">
        <v>548708</v>
      </c>
      <c r="O28" s="33">
        <f t="shared" si="4"/>
        <v>485531.45999999996</v>
      </c>
      <c r="P28" s="44">
        <v>354498.41</v>
      </c>
      <c r="Q28" s="46">
        <f t="shared" si="3"/>
        <v>82.523323978094496</v>
      </c>
      <c r="S28" s="93">
        <f t="shared" si="1"/>
        <v>219029.81000000006</v>
      </c>
      <c r="T28" s="93">
        <f t="shared" si="2"/>
        <v>219029.81000000003</v>
      </c>
      <c r="U28" s="93"/>
      <c r="V28" s="93">
        <f t="shared" si="5"/>
        <v>548708</v>
      </c>
      <c r="Y28" s="92">
        <v>51287.040000000001</v>
      </c>
    </row>
    <row r="29" spans="1:25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2 кв.2020г.'!H29-'ТСЖ 2 кв.2020г.'!I29+'ТСЖ 3 кв.2020г.'!Y29+W29</f>
        <v>144617.08999999997</v>
      </c>
      <c r="I29" s="33">
        <v>22895.29</v>
      </c>
      <c r="J29" s="33">
        <f>'ТСЖ 2 кв.2020г.'!J29+'ТСЖ 3 кв.2020г.'!Y29</f>
        <v>829298.59</v>
      </c>
      <c r="K29" s="33">
        <f>'ТСЖ 2 кв.2020г.'!K29+'ТСЖ 3 кв.2020г.'!I29</f>
        <v>707576.79</v>
      </c>
      <c r="L29" s="43"/>
      <c r="M29" s="66"/>
      <c r="N29" s="33">
        <v>546055</v>
      </c>
      <c r="O29" s="33">
        <f t="shared" si="4"/>
        <v>161521.79000000004</v>
      </c>
      <c r="P29" s="44">
        <v>309141.18</v>
      </c>
      <c r="Q29" s="46">
        <f t="shared" si="3"/>
        <v>85.322319190244869</v>
      </c>
      <c r="S29" s="48">
        <f t="shared" si="1"/>
        <v>121721.79999999993</v>
      </c>
      <c r="T29" s="48">
        <f t="shared" si="2"/>
        <v>121721.79999999996</v>
      </c>
      <c r="V29" s="93">
        <f t="shared" si="5"/>
        <v>546055</v>
      </c>
      <c r="Y29" s="49">
        <f>34020.38-65.93</f>
        <v>33954.449999999997</v>
      </c>
    </row>
    <row r="30" spans="1:25" ht="12.75" customHeight="1">
      <c r="A30" s="2"/>
      <c r="Y30" s="100">
        <f>SUM(Y15:Y29)</f>
        <v>550259.57999999996</v>
      </c>
    </row>
    <row r="31" spans="1:25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5" ht="15" customHeight="1">
      <c r="A32" s="2"/>
      <c r="B32" s="76" t="s">
        <v>164</v>
      </c>
      <c r="C32" s="203" t="s">
        <v>261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 hidden="1">
      <c r="A33" s="2"/>
      <c r="B33" s="77"/>
      <c r="C33" s="203" t="s">
        <v>131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5.75" hidden="1">
      <c r="A34" s="2"/>
      <c r="B34" s="77" t="s">
        <v>165</v>
      </c>
      <c r="C34" s="203" t="s">
        <v>185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</row>
    <row r="35" spans="1:15" ht="15.75" hidden="1">
      <c r="A35" s="2"/>
      <c r="B35" s="77" t="s">
        <v>166</v>
      </c>
      <c r="C35" s="203" t="s">
        <v>169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</row>
    <row r="36" spans="1:15" ht="15.75" hidden="1">
      <c r="A36" s="2"/>
      <c r="B36" s="77" t="s">
        <v>166</v>
      </c>
      <c r="C36" s="203" t="s">
        <v>186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</row>
    <row r="37" spans="1:15" ht="15.75" hidden="1">
      <c r="A37" s="2"/>
      <c r="B37" s="77" t="s">
        <v>167</v>
      </c>
      <c r="C37" s="203" t="s">
        <v>187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15" ht="15.75" hidden="1">
      <c r="A38" s="2"/>
      <c r="B38" s="77" t="s">
        <v>165</v>
      </c>
      <c r="C38" s="203" t="s">
        <v>180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5.75" hidden="1">
      <c r="A39" s="2"/>
      <c r="B39" s="77" t="s">
        <v>166</v>
      </c>
      <c r="C39" s="203" t="s">
        <v>181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5.75" hidden="1">
      <c r="A40" s="2"/>
      <c r="B40" s="77" t="s">
        <v>167</v>
      </c>
      <c r="C40" s="203" t="s">
        <v>182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15.75" hidden="1">
      <c r="A41" s="2"/>
      <c r="B41" s="75" t="s">
        <v>168</v>
      </c>
      <c r="C41" s="203" t="s">
        <v>178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5.75" hidden="1">
      <c r="A42" s="2"/>
      <c r="B42" s="75" t="s">
        <v>171</v>
      </c>
      <c r="C42" s="203" t="s">
        <v>170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15.75" hidden="1">
      <c r="A43" s="2"/>
      <c r="B43" s="75" t="s">
        <v>176</v>
      </c>
      <c r="C43" s="203" t="s">
        <v>179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5.75" hidden="1">
      <c r="A44" s="2"/>
      <c r="B44" s="75" t="s">
        <v>177</v>
      </c>
      <c r="C44" s="203" t="s">
        <v>172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27" customFormat="1" ht="15.75">
      <c r="A46" s="4" t="str">
        <f>'УК 3 кв. 2020г.'!A35</f>
        <v>02 октября 2020 г.</v>
      </c>
      <c r="I46" s="28"/>
    </row>
    <row r="47" spans="1:15" s="27" customFormat="1" ht="15.75">
      <c r="A47" s="4"/>
      <c r="I47" s="28"/>
    </row>
    <row r="48" spans="1:15" s="27" customFormat="1" ht="15.75">
      <c r="A48" s="4"/>
      <c r="I48" s="28"/>
    </row>
    <row r="49" spans="1:11" s="27" customFormat="1" ht="15.75">
      <c r="A49" s="4" t="s">
        <v>47</v>
      </c>
      <c r="I49" s="28"/>
    </row>
    <row r="50" spans="1:11" s="27" customFormat="1" ht="15.75" hidden="1">
      <c r="A50" s="30" t="s">
        <v>48</v>
      </c>
      <c r="I50" s="28"/>
    </row>
    <row r="51" spans="1:11">
      <c r="A51" s="1"/>
    </row>
    <row r="52" spans="1:11">
      <c r="A52" s="1"/>
      <c r="K52" s="3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  <row r="65" spans="1:1">
      <c r="A65" s="1"/>
    </row>
  </sheetData>
  <mergeCells count="37">
    <mergeCell ref="C33:O33"/>
    <mergeCell ref="C34:O34"/>
    <mergeCell ref="C35:O35"/>
    <mergeCell ref="C36:O36"/>
    <mergeCell ref="C44:O44"/>
    <mergeCell ref="C38:O38"/>
    <mergeCell ref="C39:O39"/>
    <mergeCell ref="C40:O40"/>
    <mergeCell ref="C41:O41"/>
    <mergeCell ref="C42:O42"/>
    <mergeCell ref="C43:O43"/>
    <mergeCell ref="C37:O37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32:O32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  <mergeCell ref="F11:F13"/>
    <mergeCell ref="G11:G13"/>
    <mergeCell ref="H11:I11"/>
    <mergeCell ref="J11:K11"/>
    <mergeCell ref="L11:N11"/>
  </mergeCells>
  <pageMargins left="0.31496062992125984" right="0.31496062992125984" top="0.35433070866141736" bottom="0.35433070866141736" header="0.31496062992125984" footer="0.31496062992125984"/>
  <pageSetup paperSize="9" scale="5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8"/>
  <sheetViews>
    <sheetView topLeftCell="A16" zoomScaleNormal="100" workbookViewId="0">
      <selection activeCell="H23" sqref="H23"/>
    </sheetView>
  </sheetViews>
  <sheetFormatPr defaultColWidth="9.140625" defaultRowHeight="15"/>
  <cols>
    <col min="1" max="1" width="9.140625" style="13"/>
    <col min="2" max="2" width="12.42578125" style="13" customWidth="1"/>
    <col min="3" max="3" width="28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0.42578125" style="13" customWidth="1"/>
    <col min="15" max="15" width="13.42578125" style="13" customWidth="1"/>
    <col min="16" max="16" width="6.710937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19" ht="11.2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9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62"/>
    </row>
    <row r="3" spans="1:19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19" ht="15.75">
      <c r="A4" s="158" t="s">
        <v>232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9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19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19" ht="15.75">
      <c r="A7" s="1" t="s">
        <v>7</v>
      </c>
      <c r="D7" s="18" t="s">
        <v>51</v>
      </c>
      <c r="E7" s="17"/>
      <c r="F7" s="17"/>
      <c r="G7" s="17"/>
      <c r="H7" s="17"/>
    </row>
    <row r="8" spans="1:19">
      <c r="A8" s="1" t="s">
        <v>8</v>
      </c>
    </row>
    <row r="9" spans="1:19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19" ht="15.75">
      <c r="A10" s="18" t="s">
        <v>61</v>
      </c>
    </row>
    <row r="11" spans="1:19" ht="15.75">
      <c r="A11" s="18" t="s">
        <v>62</v>
      </c>
    </row>
    <row r="12" spans="1:19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</row>
    <row r="13" spans="1:19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</row>
    <row r="14" spans="1:19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</row>
    <row r="15" spans="1:19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</row>
    <row r="16" spans="1:19" s="15" customFormat="1" ht="30">
      <c r="A16" s="32">
        <v>1</v>
      </c>
      <c r="B16" s="32" t="s">
        <v>28</v>
      </c>
      <c r="C16" s="32" t="s">
        <v>52</v>
      </c>
      <c r="D16" s="32">
        <v>2001</v>
      </c>
      <c r="E16" s="32"/>
      <c r="F16" s="33">
        <v>9312.5</v>
      </c>
      <c r="G16" s="32">
        <v>5.3</v>
      </c>
      <c r="H16" s="33">
        <f>'УК 1 кв. 2020г.'!H16-'УК 1 кв. 2020г.'!I16+148068.78</f>
        <v>314336.81999999995</v>
      </c>
      <c r="I16" s="33">
        <f>126063.57+400</f>
        <v>126463.57</v>
      </c>
      <c r="J16" s="33">
        <f>'УК 1 кв. 2020г.'!J16+67292.09</f>
        <v>3403096.76</v>
      </c>
      <c r="K16" s="33">
        <f>'УК 1 кв. 2020г.'!K16+'УК 2 кв. 2020г.'!I16</f>
        <v>3296000.1999999997</v>
      </c>
      <c r="L16" s="64"/>
      <c r="M16" s="47"/>
      <c r="N16" s="33">
        <v>894970.86</v>
      </c>
      <c r="O16" s="33">
        <f>K16-N16</f>
        <v>2401029.34</v>
      </c>
      <c r="P16" s="63">
        <f>K16/J16*100</f>
        <v>96.85296753066757</v>
      </c>
      <c r="R16" s="19">
        <f>J16-K16</f>
        <v>107096.56000000006</v>
      </c>
      <c r="S16" s="19">
        <f>H16-I16</f>
        <v>187873.24999999994</v>
      </c>
    </row>
    <row r="17" spans="1:22" s="15" customFormat="1" ht="48.75" customHeight="1">
      <c r="A17" s="32">
        <v>1</v>
      </c>
      <c r="B17" s="32" t="s">
        <v>28</v>
      </c>
      <c r="C17" s="32" t="s">
        <v>57</v>
      </c>
      <c r="D17" s="32">
        <v>2011</v>
      </c>
      <c r="E17" s="32"/>
      <c r="F17" s="32" t="s">
        <v>58</v>
      </c>
      <c r="G17" s="32">
        <v>7.32</v>
      </c>
      <c r="H17" s="33">
        <f>'УК 1 кв. 2020г.'!H17-'УК 1 кв. 2020г.'!I17+67292.09</f>
        <v>144584.83000000002</v>
      </c>
      <c r="I17" s="33">
        <f>62566.58+48.9</f>
        <v>62615.48</v>
      </c>
      <c r="J17" s="33">
        <f>'УК 1 кв. 2020г.'!J17+67292.09</f>
        <v>815075.52</v>
      </c>
      <c r="K17" s="33">
        <f>'УК 1 кв. 2020г.'!K17+'УК 2 кв. 2020г.'!I17</f>
        <v>733106.17</v>
      </c>
      <c r="L17" s="32"/>
      <c r="M17" s="32"/>
      <c r="N17" s="33"/>
      <c r="O17" s="33">
        <f>K17-N17</f>
        <v>733106.17</v>
      </c>
      <c r="P17" s="63">
        <f>K17/J17*100</f>
        <v>89.943342918702797</v>
      </c>
      <c r="R17" s="19">
        <f>J17-K17</f>
        <v>81969.349999999977</v>
      </c>
      <c r="S17" s="19">
        <f>H17-I17</f>
        <v>81969.350000000006</v>
      </c>
    </row>
    <row r="18" spans="1:22" s="15" customFormat="1" ht="42" customHeight="1">
      <c r="A18" s="32">
        <v>1</v>
      </c>
      <c r="B18" s="32" t="s">
        <v>28</v>
      </c>
      <c r="C18" s="32" t="s">
        <v>91</v>
      </c>
      <c r="D18" s="32">
        <v>2012</v>
      </c>
      <c r="E18" s="32"/>
      <c r="F18" s="33">
        <v>2517.1</v>
      </c>
      <c r="G18" s="32">
        <v>7.32</v>
      </c>
      <c r="H18" s="33">
        <f>'УК 1 кв. 2020г.'!H18-'УК 1 кв. 2020г.'!I18+55277.73</f>
        <v>529007.65</v>
      </c>
      <c r="I18" s="33">
        <f>57925.23+38.87</f>
        <v>57964.100000000006</v>
      </c>
      <c r="J18" s="33">
        <f>'УК 1 кв. 2020г.'!J18+55277.73</f>
        <v>1250483.46</v>
      </c>
      <c r="K18" s="33">
        <f>'УК 1 кв. 2020г.'!K18+'УК 2 кв. 2020г.'!I18</f>
        <v>779439.91</v>
      </c>
      <c r="L18" s="34"/>
      <c r="M18" s="89"/>
      <c r="N18" s="33">
        <f>13500+N19+N20+N22+N21</f>
        <v>150967</v>
      </c>
      <c r="O18" s="33">
        <f>K18-N18</f>
        <v>628472.91</v>
      </c>
      <c r="P18" s="63">
        <f>K18/J18*100</f>
        <v>62.331085130866114</v>
      </c>
      <c r="R18" s="19">
        <f>J18-K18</f>
        <v>471043.54999999993</v>
      </c>
      <c r="S18" s="19">
        <f>H18-I18</f>
        <v>471043.55000000005</v>
      </c>
    </row>
    <row r="19" spans="1:22" s="15" customFormat="1" ht="43.5" customHeight="1">
      <c r="A19" s="32"/>
      <c r="B19" s="32"/>
      <c r="C19" s="32"/>
      <c r="D19" s="32"/>
      <c r="E19" s="32"/>
      <c r="F19" s="33"/>
      <c r="G19" s="32"/>
      <c r="H19" s="33"/>
      <c r="I19" s="33"/>
      <c r="J19" s="33"/>
      <c r="K19" s="33"/>
      <c r="L19" s="94" t="s">
        <v>236</v>
      </c>
      <c r="M19" s="89" t="s">
        <v>241</v>
      </c>
      <c r="N19" s="33">
        <v>31500</v>
      </c>
      <c r="O19" s="33"/>
      <c r="P19" s="63"/>
      <c r="R19" s="19"/>
      <c r="S19" s="19"/>
    </row>
    <row r="20" spans="1:22" s="15" customFormat="1" ht="34.5" customHeight="1">
      <c r="A20" s="32"/>
      <c r="B20" s="32"/>
      <c r="C20" s="32"/>
      <c r="D20" s="32"/>
      <c r="E20" s="32"/>
      <c r="F20" s="33"/>
      <c r="G20" s="32"/>
      <c r="H20" s="33"/>
      <c r="I20" s="33"/>
      <c r="J20" s="33"/>
      <c r="K20" s="33"/>
      <c r="L20" s="95" t="s">
        <v>235</v>
      </c>
      <c r="M20" s="89" t="s">
        <v>234</v>
      </c>
      <c r="N20" s="33">
        <v>37754</v>
      </c>
      <c r="O20" s="33"/>
      <c r="P20" s="63"/>
      <c r="R20" s="19"/>
      <c r="S20" s="19"/>
    </row>
    <row r="21" spans="1:22" s="15" customFormat="1" ht="34.5" customHeight="1">
      <c r="A21" s="32"/>
      <c r="B21" s="32"/>
      <c r="C21" s="32"/>
      <c r="D21" s="32"/>
      <c r="E21" s="32"/>
      <c r="F21" s="33"/>
      <c r="G21" s="32"/>
      <c r="H21" s="33"/>
      <c r="I21" s="33"/>
      <c r="J21" s="33"/>
      <c r="K21" s="33"/>
      <c r="L21" s="95" t="s">
        <v>237</v>
      </c>
      <c r="M21" s="89" t="s">
        <v>238</v>
      </c>
      <c r="N21" s="33">
        <v>27874.5</v>
      </c>
      <c r="O21" s="33"/>
      <c r="P21" s="63"/>
      <c r="R21" s="19"/>
      <c r="S21" s="19"/>
    </row>
    <row r="22" spans="1:22" s="15" customFormat="1" ht="35.25" customHeight="1">
      <c r="A22" s="32"/>
      <c r="B22" s="32"/>
      <c r="C22" s="32"/>
      <c r="D22" s="32"/>
      <c r="E22" s="32"/>
      <c r="F22" s="33"/>
      <c r="G22" s="32"/>
      <c r="H22" s="33"/>
      <c r="I22" s="33"/>
      <c r="J22" s="33"/>
      <c r="K22" s="33"/>
      <c r="L22" s="95" t="s">
        <v>237</v>
      </c>
      <c r="M22" s="89" t="s">
        <v>239</v>
      </c>
      <c r="N22" s="33">
        <v>40338.5</v>
      </c>
      <c r="O22" s="33"/>
      <c r="P22" s="63"/>
      <c r="R22" s="19"/>
      <c r="S22" s="19"/>
    </row>
    <row r="23" spans="1:22" s="15" customFormat="1" ht="48.75" customHeight="1">
      <c r="A23" s="32">
        <v>1</v>
      </c>
      <c r="B23" s="32" t="s">
        <v>28</v>
      </c>
      <c r="C23" s="32" t="s">
        <v>92</v>
      </c>
      <c r="D23" s="32">
        <v>2012</v>
      </c>
      <c r="E23" s="32"/>
      <c r="F23" s="33">
        <v>2504.1999999999998</v>
      </c>
      <c r="G23" s="32">
        <v>7.32</v>
      </c>
      <c r="H23" s="33">
        <f>'УК 1 кв. 2020г.'!H19-'УК 1 кв. 2020г.'!I19+59948.65</f>
        <v>341392.55999999994</v>
      </c>
      <c r="I23" s="33">
        <f>48024.82+90.21</f>
        <v>48115.03</v>
      </c>
      <c r="J23" s="33">
        <f>'УК 1 кв. 2020г.'!J19+59948.65</f>
        <v>1443570.0999999999</v>
      </c>
      <c r="K23" s="33">
        <f>'УК 1 кв. 2020г.'!K19+'УК 2 кв. 2020г.'!I23</f>
        <v>1150292.57</v>
      </c>
      <c r="L23" s="43"/>
      <c r="M23" s="91"/>
      <c r="N23" s="33">
        <f>36227.4+N24+N25</f>
        <v>104440.4</v>
      </c>
      <c r="O23" s="33">
        <f t="shared" ref="O23:O26" si="0">K23-N23</f>
        <v>1045852.17</v>
      </c>
      <c r="P23" s="63">
        <f>K23/J23*100</f>
        <v>79.683873335974482</v>
      </c>
      <c r="R23" s="19">
        <f>J23-K23</f>
        <v>293277.5299999998</v>
      </c>
      <c r="S23" s="19">
        <f t="shared" ref="S23:S26" si="1">H23-I23</f>
        <v>293277.52999999991</v>
      </c>
      <c r="U23" s="19"/>
      <c r="V23" s="19"/>
    </row>
    <row r="24" spans="1:22" s="15" customFormat="1" ht="34.5" customHeight="1">
      <c r="A24" s="32"/>
      <c r="B24" s="32"/>
      <c r="C24" s="32"/>
      <c r="D24" s="32"/>
      <c r="E24" s="32"/>
      <c r="F24" s="33"/>
      <c r="G24" s="32"/>
      <c r="H24" s="33"/>
      <c r="I24" s="33"/>
      <c r="J24" s="33"/>
      <c r="K24" s="33"/>
      <c r="L24" s="95" t="s">
        <v>247</v>
      </c>
      <c r="M24" s="89" t="s">
        <v>238</v>
      </c>
      <c r="N24" s="33">
        <v>27874.5</v>
      </c>
      <c r="O24" s="33"/>
      <c r="P24" s="63"/>
      <c r="R24" s="19"/>
      <c r="S24" s="19"/>
    </row>
    <row r="25" spans="1:22" s="15" customFormat="1" ht="35.25" customHeight="1">
      <c r="A25" s="32"/>
      <c r="B25" s="32"/>
      <c r="C25" s="32"/>
      <c r="D25" s="32"/>
      <c r="E25" s="32"/>
      <c r="F25" s="33"/>
      <c r="G25" s="32"/>
      <c r="H25" s="33"/>
      <c r="I25" s="33"/>
      <c r="J25" s="33"/>
      <c r="K25" s="33"/>
      <c r="L25" s="95" t="s">
        <v>247</v>
      </c>
      <c r="M25" s="89" t="s">
        <v>239</v>
      </c>
      <c r="N25" s="33">
        <v>40338.5</v>
      </c>
      <c r="O25" s="33"/>
      <c r="P25" s="63"/>
      <c r="R25" s="19"/>
      <c r="S25" s="19"/>
    </row>
    <row r="26" spans="1:22" ht="30">
      <c r="A26" s="32">
        <v>1</v>
      </c>
      <c r="B26" s="32" t="s">
        <v>28</v>
      </c>
      <c r="C26" s="32" t="s">
        <v>152</v>
      </c>
      <c r="D26" s="32">
        <v>2007</v>
      </c>
      <c r="E26" s="32"/>
      <c r="F26" s="33">
        <v>2915.6</v>
      </c>
      <c r="G26" s="32">
        <v>7.32</v>
      </c>
      <c r="H26" s="33">
        <f>'УК 1 кв. 2020г.'!H20-'УК 1 кв. 2020г.'!I20+64094.67</f>
        <v>443352.8299999999</v>
      </c>
      <c r="I26" s="33">
        <f>95442.25+453.41</f>
        <v>95895.66</v>
      </c>
      <c r="J26" s="33">
        <f>'УК 1 кв. 2020г.'!J20+'УК 2 кв. 2020г.'!H26</f>
        <v>1895136.3199999998</v>
      </c>
      <c r="K26" s="33">
        <f>'УК 1 кв. 2020г.'!K20+'УК 2 кв. 2020г.'!I26</f>
        <v>1168420.99</v>
      </c>
      <c r="L26" s="32"/>
      <c r="M26" s="32"/>
      <c r="N26" s="33">
        <f>N27+N28</f>
        <v>180407</v>
      </c>
      <c r="O26" s="33">
        <f t="shared" si="0"/>
        <v>988013.99</v>
      </c>
      <c r="P26" s="63">
        <f>K26/J26*100</f>
        <v>61.653664576488097</v>
      </c>
      <c r="R26" s="19">
        <f>J26-K26</f>
        <v>726715.32999999984</v>
      </c>
      <c r="S26" s="19">
        <f t="shared" si="1"/>
        <v>347457.16999999993</v>
      </c>
    </row>
    <row r="27" spans="1:22" s="15" customFormat="1" ht="43.5" customHeight="1">
      <c r="A27" s="32"/>
      <c r="B27" s="32"/>
      <c r="C27" s="32"/>
      <c r="D27" s="32"/>
      <c r="E27" s="32"/>
      <c r="F27" s="33"/>
      <c r="G27" s="32"/>
      <c r="H27" s="33"/>
      <c r="I27" s="33"/>
      <c r="J27" s="33"/>
      <c r="K27" s="33"/>
      <c r="L27" s="94" t="s">
        <v>252</v>
      </c>
      <c r="M27" s="89" t="s">
        <v>243</v>
      </c>
      <c r="N27" s="33">
        <v>55749</v>
      </c>
      <c r="O27" s="33"/>
      <c r="P27" s="63"/>
      <c r="R27" s="19"/>
      <c r="S27" s="19"/>
    </row>
    <row r="28" spans="1:22" s="15" customFormat="1" ht="34.5" customHeight="1">
      <c r="A28" s="32"/>
      <c r="B28" s="32"/>
      <c r="C28" s="32"/>
      <c r="D28" s="32"/>
      <c r="E28" s="32"/>
      <c r="F28" s="33"/>
      <c r="G28" s="32"/>
      <c r="H28" s="33"/>
      <c r="I28" s="33"/>
      <c r="J28" s="33"/>
      <c r="K28" s="33"/>
      <c r="L28" s="95" t="s">
        <v>252</v>
      </c>
      <c r="M28" s="89" t="s">
        <v>244</v>
      </c>
      <c r="N28" s="33">
        <v>124658</v>
      </c>
      <c r="O28" s="33"/>
      <c r="P28" s="63"/>
      <c r="R28" s="19"/>
      <c r="S28" s="19"/>
    </row>
    <row r="29" spans="1:22">
      <c r="A29" s="67"/>
      <c r="B29" s="67"/>
      <c r="C29" s="67"/>
      <c r="D29" s="67"/>
      <c r="E29" s="67"/>
      <c r="F29" s="68"/>
      <c r="G29" s="67"/>
      <c r="H29" s="68"/>
      <c r="I29" s="68"/>
      <c r="J29" s="68"/>
      <c r="K29" s="68"/>
      <c r="L29" s="67"/>
      <c r="M29" s="67"/>
      <c r="N29" s="67"/>
      <c r="O29" s="68"/>
      <c r="P29" s="63"/>
    </row>
    <row r="30" spans="1:22" s="17" customFormat="1" ht="15.75">
      <c r="A30" s="4" t="s">
        <v>64</v>
      </c>
      <c r="C30" s="90"/>
      <c r="D30" s="90"/>
      <c r="E30" s="90"/>
      <c r="F30" s="90"/>
      <c r="G30" s="90"/>
      <c r="H30" s="90"/>
      <c r="I30" s="90"/>
      <c r="J30" s="90"/>
      <c r="K30" s="90"/>
      <c r="L30" s="4"/>
      <c r="P30" s="62"/>
    </row>
    <row r="31" spans="1:22" s="17" customFormat="1" ht="15.75">
      <c r="A31" s="4"/>
      <c r="C31" s="90" t="s">
        <v>240</v>
      </c>
      <c r="D31" s="90"/>
      <c r="E31" s="90"/>
      <c r="F31" s="90"/>
      <c r="G31" s="90"/>
      <c r="H31" s="90"/>
      <c r="I31" s="90"/>
      <c r="J31" s="90"/>
      <c r="K31" s="90"/>
      <c r="L31" s="4"/>
      <c r="P31" s="62"/>
    </row>
    <row r="32" spans="1:22" s="17" customFormat="1" ht="15.75">
      <c r="A32" s="4"/>
      <c r="C32" s="90" t="s">
        <v>242</v>
      </c>
      <c r="D32" s="69"/>
      <c r="E32" s="69"/>
      <c r="F32" s="69"/>
      <c r="G32" s="69"/>
      <c r="H32" s="69"/>
      <c r="I32" s="69"/>
      <c r="J32" s="69"/>
      <c r="K32" s="69"/>
      <c r="P32" s="62"/>
    </row>
    <row r="33" spans="1:16" s="70" customFormat="1" ht="15.75">
      <c r="C33" s="90" t="s">
        <v>245</v>
      </c>
      <c r="D33" s="69"/>
      <c r="E33" s="69"/>
      <c r="F33" s="69"/>
      <c r="G33" s="69"/>
      <c r="H33" s="69"/>
      <c r="I33" s="69"/>
      <c r="J33" s="69"/>
      <c r="K33" s="69"/>
      <c r="P33" s="71"/>
    </row>
    <row r="34" spans="1:16" s="17" customFormat="1" ht="15.75">
      <c r="A34" s="4"/>
      <c r="C34" s="90" t="s">
        <v>246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>
      <c r="A35" s="4"/>
      <c r="C35" s="13" t="s">
        <v>256</v>
      </c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15.75">
      <c r="A36" s="4"/>
      <c r="C36" s="13" t="s">
        <v>248</v>
      </c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5.75">
      <c r="A37" s="4"/>
      <c r="C37" s="13" t="s">
        <v>250</v>
      </c>
      <c r="D37" s="13"/>
      <c r="E37" s="13"/>
      <c r="F37" s="13"/>
      <c r="G37" s="13"/>
      <c r="H37" s="13"/>
      <c r="I37" s="13"/>
      <c r="J37" s="13"/>
      <c r="K37" s="13"/>
      <c r="P37" s="62"/>
    </row>
    <row r="38" spans="1:16" s="17" customFormat="1" ht="15.75">
      <c r="A38" s="4"/>
      <c r="C38" s="13" t="s">
        <v>249</v>
      </c>
      <c r="D38" s="13"/>
      <c r="E38" s="13"/>
      <c r="F38" s="13"/>
      <c r="G38" s="13"/>
      <c r="H38" s="13"/>
      <c r="I38" s="13"/>
      <c r="J38" s="13"/>
      <c r="K38" s="13"/>
      <c r="P38" s="62"/>
    </row>
    <row r="39" spans="1:16" s="17" customFormat="1" ht="15.75">
      <c r="A39" s="4"/>
      <c r="C39" s="13" t="s">
        <v>251</v>
      </c>
      <c r="D39" s="13"/>
      <c r="E39" s="13"/>
      <c r="F39" s="13"/>
      <c r="G39" s="13"/>
      <c r="H39" s="13"/>
      <c r="I39" s="13"/>
      <c r="J39" s="13"/>
      <c r="K39" s="13"/>
      <c r="P39" s="62"/>
    </row>
    <row r="40" spans="1:16" s="17" customFormat="1" ht="15.75">
      <c r="A40" s="4"/>
      <c r="C40" s="13" t="s">
        <v>253</v>
      </c>
      <c r="D40" s="13"/>
      <c r="E40" s="13"/>
      <c r="F40" s="13"/>
      <c r="G40" s="13"/>
      <c r="H40" s="13"/>
      <c r="I40" s="13"/>
      <c r="J40" s="13"/>
      <c r="K40" s="13"/>
      <c r="P40" s="62"/>
    </row>
    <row r="41" spans="1:16" s="17" customFormat="1" ht="15.75">
      <c r="A41" s="4"/>
      <c r="C41" s="13" t="s">
        <v>254</v>
      </c>
      <c r="D41" s="13"/>
      <c r="E41" s="13"/>
      <c r="F41" s="13"/>
      <c r="G41" s="13"/>
      <c r="H41" s="13"/>
      <c r="I41" s="13"/>
      <c r="J41" s="13"/>
      <c r="K41" s="13"/>
      <c r="P41" s="62"/>
    </row>
    <row r="42" spans="1:16" s="17" customFormat="1" ht="15.75">
      <c r="A42" s="4"/>
      <c r="C42" s="13" t="s">
        <v>255</v>
      </c>
      <c r="D42" s="13"/>
      <c r="E42" s="13"/>
      <c r="F42" s="13"/>
      <c r="G42" s="13"/>
      <c r="H42" s="13"/>
      <c r="I42" s="13"/>
      <c r="J42" s="13"/>
      <c r="K42" s="13"/>
      <c r="P42" s="62"/>
    </row>
    <row r="43" spans="1:16" s="17" customFormat="1" ht="15.75">
      <c r="A43" s="4"/>
      <c r="C43" s="13"/>
      <c r="D43" s="13"/>
      <c r="E43" s="13"/>
      <c r="F43" s="13"/>
      <c r="G43" s="13"/>
      <c r="H43" s="13"/>
      <c r="I43" s="13"/>
      <c r="J43" s="13"/>
      <c r="K43" s="13"/>
      <c r="P43" s="62"/>
    </row>
    <row r="44" spans="1:16" s="17" customFormat="1" ht="15.75">
      <c r="A44" s="4"/>
      <c r="C44" s="13"/>
      <c r="D44" s="13"/>
      <c r="E44" s="13"/>
      <c r="F44" s="13"/>
      <c r="G44" s="13"/>
      <c r="H44" s="13"/>
      <c r="I44" s="13"/>
      <c r="J44" s="13"/>
      <c r="K44" s="13"/>
      <c r="P44" s="62"/>
    </row>
    <row r="45" spans="1:16" s="17" customFormat="1" ht="15.75">
      <c r="A45" s="4" t="s">
        <v>233</v>
      </c>
      <c r="P45" s="62"/>
    </row>
    <row r="46" spans="1:16" s="17" customFormat="1" ht="15.75">
      <c r="A46" s="4" t="s">
        <v>59</v>
      </c>
      <c r="P46" s="62"/>
    </row>
    <row r="47" spans="1:16" s="17" customFormat="1" ht="15.75">
      <c r="A47" s="4"/>
      <c r="P47" s="62"/>
    </row>
    <row r="48" spans="1:16">
      <c r="A48" s="2" t="s">
        <v>48</v>
      </c>
    </row>
  </sheetData>
  <mergeCells count="24">
    <mergeCell ref="K13:K14"/>
    <mergeCell ref="L13:L14"/>
    <mergeCell ref="M13:M14"/>
    <mergeCell ref="N13:N14"/>
    <mergeCell ref="G12:G14"/>
    <mergeCell ref="H12:I12"/>
    <mergeCell ref="J12:K12"/>
    <mergeCell ref="L12:N12"/>
    <mergeCell ref="F12:F14"/>
    <mergeCell ref="A1:O1"/>
    <mergeCell ref="A2:O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H13:H14"/>
    <mergeCell ref="I13:I14"/>
    <mergeCell ref="J13:J14"/>
  </mergeCells>
  <pageMargins left="0.78740157480314965" right="0.39370078740157483" top="0.39370078740157483" bottom="0.35433070866141736" header="0.31496062992125984" footer="0.31496062992125984"/>
  <pageSetup paperSize="9" scale="4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9" workbookViewId="0">
      <selection activeCell="O15" sqref="O15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</cols>
  <sheetData>
    <row r="1" spans="1:25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5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5" s="13" customFormat="1" ht="15.75">
      <c r="A3" s="187" t="str">
        <f>'УК 2 кв. 2020г.'!A4:O4</f>
        <v xml:space="preserve">по состоянию за 2 квартал 2020 года на 01 июля 2020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</row>
    <row r="4" spans="1:25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</row>
    <row r="5" spans="1:25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</row>
    <row r="6" spans="1:25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</row>
    <row r="7" spans="1:25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25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</row>
    <row r="9" spans="1:25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5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5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</row>
    <row r="12" spans="1:25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</row>
    <row r="13" spans="1:25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229</v>
      </c>
      <c r="W13" s="38" t="s">
        <v>230</v>
      </c>
    </row>
    <row r="14" spans="1:25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</row>
    <row r="15" spans="1:25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'ТСЖ 1 кв.2020г.'!H15-'ТСЖ 1 кв.2020г.'!I15+'ТСЖ 2 кв.2020г.'!Y15+W15</f>
        <v>355627.68000000005</v>
      </c>
      <c r="I15" s="33">
        <f>63068.65+890.71+W15</f>
        <v>64390.44</v>
      </c>
      <c r="J15" s="33">
        <f>'ТСЖ 1 кв.2020г.'!J15+'ТСЖ 2 кв.2020г.'!Y15</f>
        <v>1770109.25</v>
      </c>
      <c r="K15" s="33">
        <f>'ТСЖ 1 кв.2020г.'!K15+'ТСЖ 2 кв.2020г.'!I15</f>
        <v>1481957.09</v>
      </c>
      <c r="L15" s="43"/>
      <c r="M15" s="66"/>
      <c r="N15" s="33">
        <v>426357.12</v>
      </c>
      <c r="O15" s="33">
        <f>K15-V15</f>
        <v>1055599.8800000001</v>
      </c>
      <c r="P15" s="74">
        <v>520817.08</v>
      </c>
      <c r="Q15" s="46">
        <f>K15/J15*100</f>
        <v>83.721221726851041</v>
      </c>
      <c r="S15" s="48">
        <f>J15-K15+W15</f>
        <v>288583.23999999993</v>
      </c>
      <c r="T15" s="48">
        <f>H15-I15</f>
        <v>291237.24000000005</v>
      </c>
      <c r="V15" s="48">
        <v>426357.21</v>
      </c>
      <c r="W15" s="49">
        <v>431.08</v>
      </c>
      <c r="Y15" s="49">
        <v>75529.77</v>
      </c>
    </row>
    <row r="16" spans="1:25" s="49" customFormat="1" ht="51" customHeight="1">
      <c r="A16" s="32">
        <v>2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'ТСЖ 1 кв.2020г.'!H16-'ТСЖ 1 кв.2020г.'!I16+'ТСЖ 2 кв.2020г.'!Y16</f>
        <v>70814.880000000005</v>
      </c>
      <c r="I16" s="33">
        <f>18343.61+2.23</f>
        <v>18345.84</v>
      </c>
      <c r="J16" s="33">
        <f>'ТСЖ 1 кв.2020г.'!J16+'ТСЖ 2 кв.2020г.'!Y16</f>
        <v>709664.79</v>
      </c>
      <c r="K16" s="33">
        <f>'ТСЖ 1 кв.2020г.'!K16+'ТСЖ 2 кв.2020г.'!I16</f>
        <v>657195.75</v>
      </c>
      <c r="L16" s="43"/>
      <c r="M16" s="66"/>
      <c r="N16" s="33">
        <v>221688.82</v>
      </c>
      <c r="O16" s="33">
        <f t="shared" ref="O16:O18" si="0">K16-V16</f>
        <v>435506.93</v>
      </c>
      <c r="P16" s="78">
        <v>264064.82</v>
      </c>
      <c r="Q16" s="46">
        <f>K16/J16*100</f>
        <v>92.606503698739232</v>
      </c>
      <c r="S16" s="48">
        <f t="shared" ref="S16:S29" si="1">J16-K16+W16</f>
        <v>52469.040000000037</v>
      </c>
      <c r="T16" s="48">
        <f t="shared" ref="T16:T29" si="2">H16-I16</f>
        <v>52469.040000000008</v>
      </c>
      <c r="V16" s="48">
        <v>221688.82</v>
      </c>
      <c r="Y16" s="49">
        <v>30349.919999999998</v>
      </c>
    </row>
    <row r="17" spans="1:25" s="49" customFormat="1" ht="30">
      <c r="A17" s="60">
        <v>3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33">
        <f>'ТСЖ 1 кв.2020г.'!H17-'ТСЖ 1 кв.2020г.'!I17+'ТСЖ 2 кв.2020г.'!Y17</f>
        <v>154081.70000000001</v>
      </c>
      <c r="I17" s="61">
        <f>15502.5+3.35</f>
        <v>15505.85</v>
      </c>
      <c r="J17" s="33">
        <f>'ТСЖ 1 кв.2020г.'!J17+'ТСЖ 2 кв.2020г.'!Y17</f>
        <v>727317.60999999987</v>
      </c>
      <c r="K17" s="33">
        <f>'ТСЖ 1 кв.2020г.'!K17+'ТСЖ 2 кв.2020г.'!I17</f>
        <v>588741.76</v>
      </c>
      <c r="L17" s="72"/>
      <c r="M17" s="73"/>
      <c r="N17" s="61">
        <v>476040</v>
      </c>
      <c r="O17" s="61">
        <f t="shared" si="0"/>
        <v>112701.76000000001</v>
      </c>
      <c r="P17" s="74">
        <v>253163.82</v>
      </c>
      <c r="Q17" s="65">
        <f>K17/J17*100</f>
        <v>80.946996457297402</v>
      </c>
      <c r="S17" s="48">
        <f t="shared" si="1"/>
        <v>138575.84999999986</v>
      </c>
      <c r="T17" s="48">
        <f t="shared" si="2"/>
        <v>138575.85</v>
      </c>
      <c r="V17" s="48">
        <v>476040</v>
      </c>
      <c r="Y17" s="49">
        <v>30962.07</v>
      </c>
    </row>
    <row r="18" spans="1:25" s="49" customFormat="1" ht="63.75" customHeight="1" thickBot="1">
      <c r="A18" s="60">
        <v>4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33">
        <f>'ТСЖ 1 кв.2020г.'!H18-'ТСЖ 1 кв.2020г.'!I18+'ТСЖ 2 кв.2020г.'!Y18</f>
        <v>259797.64</v>
      </c>
      <c r="I18" s="61">
        <f>29294.27+37.41</f>
        <v>29331.68</v>
      </c>
      <c r="J18" s="33">
        <f>'ТСЖ 1 кв.2020г.'!J18+'ТСЖ 2 кв.2020г.'!Y18</f>
        <v>1112089.21</v>
      </c>
      <c r="K18" s="33">
        <f>'ТСЖ 1 кв.2020г.'!K18+'ТСЖ 2 кв.2020г.'!I18</f>
        <v>881623.25</v>
      </c>
      <c r="L18" s="72"/>
      <c r="M18" s="73"/>
      <c r="N18" s="61">
        <f>V18</f>
        <v>731630</v>
      </c>
      <c r="O18" s="33">
        <f t="shared" si="0"/>
        <v>149993.25</v>
      </c>
      <c r="P18" s="44">
        <v>378042.71</v>
      </c>
      <c r="Q18" s="65">
        <f t="shared" ref="Q18:Q29" si="3">K18/J18*100</f>
        <v>79.276306439480706</v>
      </c>
      <c r="S18" s="48">
        <f t="shared" si="1"/>
        <v>230465.95999999996</v>
      </c>
      <c r="T18" s="48">
        <f t="shared" si="2"/>
        <v>230465.96000000002</v>
      </c>
      <c r="V18" s="48">
        <v>731630</v>
      </c>
      <c r="Y18" s="49">
        <v>47437.65</v>
      </c>
    </row>
    <row r="19" spans="1:25" s="92" customFormat="1" ht="39.75" customHeight="1" thickBot="1">
      <c r="A19" s="32">
        <v>5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'ТСЖ 1 кв.2020г.'!H19-'ТСЖ 1 кв.2020г.'!I19+'ТСЖ 2 кв.2020г.'!Y19</f>
        <v>123135.98999999999</v>
      </c>
      <c r="I19" s="33">
        <f>26147.8+387.81</f>
        <v>26535.61</v>
      </c>
      <c r="J19" s="33">
        <f>'ТСЖ 1 кв.2020г.'!J19+'ТСЖ 2 кв.2020г.'!Y19</f>
        <v>633726.04999999993</v>
      </c>
      <c r="K19" s="33">
        <f>'ТСЖ 1 кв.2020г.'!K19+'ТСЖ 2 кв.2020г.'!I19</f>
        <v>537125.67000000004</v>
      </c>
      <c r="L19" s="43"/>
      <c r="M19" s="66"/>
      <c r="N19" s="33">
        <v>230810</v>
      </c>
      <c r="O19" s="33">
        <f>K19-N19</f>
        <v>306315.67000000004</v>
      </c>
      <c r="P19" s="44">
        <v>252978.03</v>
      </c>
      <c r="Q19" s="46">
        <f>K19/J19*100</f>
        <v>84.756760432997837</v>
      </c>
      <c r="S19" s="93">
        <f t="shared" si="1"/>
        <v>96600.379999999888</v>
      </c>
      <c r="T19" s="93">
        <f t="shared" si="2"/>
        <v>96600.37999999999</v>
      </c>
      <c r="V19" s="93">
        <v>230810</v>
      </c>
      <c r="Y19" s="92">
        <v>27025.23</v>
      </c>
    </row>
    <row r="20" spans="1:25" s="92" customFormat="1" ht="72.75" customHeight="1">
      <c r="A20" s="32">
        <v>6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'ТСЖ 1 кв.2020г.'!H20-'ТСЖ 1 кв.2020г.'!I20+'ТСЖ 2 кв.2020г.'!Y20</f>
        <v>80306.59</v>
      </c>
      <c r="I20" s="33">
        <f>14932.88+2.35</f>
        <v>14935.23</v>
      </c>
      <c r="J20" s="33">
        <f>'ТСЖ 1 кв.2020г.'!J20+'ТСЖ 2 кв.2020г.'!Y20</f>
        <v>442869.39999999997</v>
      </c>
      <c r="K20" s="33">
        <f>'ТСЖ 1 кв.2020г.'!K20+'ТСЖ 2 кв.2020г.'!I20</f>
        <v>377498.04</v>
      </c>
      <c r="L20" s="43"/>
      <c r="M20" s="66"/>
      <c r="N20" s="33">
        <v>208003.99</v>
      </c>
      <c r="O20" s="33">
        <f t="shared" ref="O20:O29" si="4">K20-N20</f>
        <v>169494.05</v>
      </c>
      <c r="P20" s="74">
        <v>124839.69</v>
      </c>
      <c r="Q20" s="46">
        <f t="shared" si="3"/>
        <v>85.239133703976847</v>
      </c>
      <c r="S20" s="93">
        <f t="shared" si="1"/>
        <v>65371.359999999986</v>
      </c>
      <c r="T20" s="93">
        <f t="shared" si="2"/>
        <v>65371.360000000001</v>
      </c>
      <c r="V20" s="93">
        <v>208003.99</v>
      </c>
      <c r="Y20" s="92">
        <v>18905.099999999999</v>
      </c>
    </row>
    <row r="21" spans="1:25" s="92" customFormat="1" ht="52.5" customHeight="1" thickBot="1">
      <c r="A21" s="32">
        <v>7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33">
        <f>'ТСЖ 1 кв.2020г.'!H21-'ТСЖ 1 кв.2020г.'!I21+'ТСЖ 2 кв.2020г.'!Y21</f>
        <v>140059.89999999997</v>
      </c>
      <c r="I21" s="61">
        <f>31728.41+7.07</f>
        <v>31735.48</v>
      </c>
      <c r="J21" s="33">
        <f>'ТСЖ 1 кв.2020г.'!J21+'ТСЖ 2 кв.2020г.'!Y21</f>
        <v>897845.22</v>
      </c>
      <c r="K21" s="33">
        <f>'ТСЖ 1 кв.2020г.'!K21+'ТСЖ 2 кв.2020г.'!I21</f>
        <v>789520.79999999993</v>
      </c>
      <c r="L21" s="72"/>
      <c r="M21" s="61"/>
      <c r="N21" s="61"/>
      <c r="O21" s="61">
        <f t="shared" si="4"/>
        <v>789520.79999999993</v>
      </c>
      <c r="P21" s="44">
        <v>388089.32</v>
      </c>
      <c r="Q21" s="65">
        <f t="shared" si="3"/>
        <v>87.93506747187449</v>
      </c>
      <c r="S21" s="93">
        <f t="shared" si="1"/>
        <v>108324.42000000004</v>
      </c>
      <c r="T21" s="93">
        <f t="shared" si="2"/>
        <v>108324.41999999997</v>
      </c>
      <c r="Y21" s="92">
        <v>38605.53</v>
      </c>
    </row>
    <row r="22" spans="1:25" s="92" customFormat="1" ht="72" customHeight="1">
      <c r="A22" s="32">
        <v>8</v>
      </c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'ТСЖ 1 кв.2020г.'!H22-'ТСЖ 1 кв.2020г.'!I22+'ТСЖ 2 кв.2020г.'!Y22</f>
        <v>75699.710000000006</v>
      </c>
      <c r="I22" s="33">
        <f>20332.92+9.62</f>
        <v>20342.539999999997</v>
      </c>
      <c r="J22" s="33">
        <f>'ТСЖ 1 кв.2020г.'!J22+'ТСЖ 2 кв.2020г.'!Y22</f>
        <v>773548.44</v>
      </c>
      <c r="K22" s="33">
        <f>'ТСЖ 1 кв.2020г.'!K22+'ТСЖ 2 кв.2020г.'!I22</f>
        <v>718191.27</v>
      </c>
      <c r="L22" s="43"/>
      <c r="M22" s="66"/>
      <c r="N22" s="33">
        <v>236291.47</v>
      </c>
      <c r="O22" s="33">
        <f t="shared" si="4"/>
        <v>481899.80000000005</v>
      </c>
      <c r="P22" s="74">
        <v>223464.31</v>
      </c>
      <c r="Q22" s="46">
        <f>K22/J22*100</f>
        <v>92.843735810520172</v>
      </c>
      <c r="S22" s="93">
        <f t="shared" si="1"/>
        <v>55357.169999999925</v>
      </c>
      <c r="T22" s="93">
        <f t="shared" si="2"/>
        <v>55357.170000000013</v>
      </c>
      <c r="V22" s="93">
        <f>N22</f>
        <v>236291.47</v>
      </c>
      <c r="Y22" s="92">
        <v>33038.61</v>
      </c>
    </row>
    <row r="23" spans="1:25" s="92" customFormat="1" ht="66.75" customHeight="1">
      <c r="A23" s="32">
        <v>9</v>
      </c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'ТСЖ 1 кв.2020г.'!H23-'ТСЖ 1 кв.2020г.'!I23+'ТСЖ 2 кв.2020г.'!Y23</f>
        <v>94229.420000000013</v>
      </c>
      <c r="I23" s="33">
        <f>46262.41+29.88+996</f>
        <v>47288.29</v>
      </c>
      <c r="J23" s="33">
        <f>'ТСЖ 1 кв.2020г.'!J23+'ТСЖ 2 кв.2020г.'!Y23</f>
        <v>777383.51</v>
      </c>
      <c r="K23" s="33">
        <f>'ТСЖ 1 кв.2020г.'!K23+'ТСЖ 2 кв.2020г.'!I23</f>
        <v>730442.38</v>
      </c>
      <c r="L23" s="43"/>
      <c r="M23" s="66"/>
      <c r="N23" s="33">
        <v>236291.47</v>
      </c>
      <c r="O23" s="33">
        <f t="shared" si="4"/>
        <v>494150.91000000003</v>
      </c>
      <c r="P23" s="78">
        <v>243907.98</v>
      </c>
      <c r="Q23" s="46">
        <f t="shared" si="3"/>
        <v>93.961650923107442</v>
      </c>
      <c r="S23" s="93">
        <f t="shared" si="1"/>
        <v>46941.130000000005</v>
      </c>
      <c r="T23" s="93">
        <f t="shared" si="2"/>
        <v>46941.130000000012</v>
      </c>
      <c r="V23" s="93">
        <f t="shared" ref="V23:V29" si="5">N23</f>
        <v>236291.47</v>
      </c>
      <c r="Y23" s="92">
        <v>33221.46</v>
      </c>
    </row>
    <row r="24" spans="1:25" s="92" customFormat="1" ht="45.75" thickBot="1">
      <c r="A24" s="32">
        <v>10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33">
        <f>'ТСЖ 1 кв.2020г.'!H24-'ТСЖ 1 кв.2020г.'!I24+'ТСЖ 2 кв.2020г.'!Y24</f>
        <v>178460.78000000003</v>
      </c>
      <c r="I24" s="61">
        <f>40420.42+24.29</f>
        <v>40444.71</v>
      </c>
      <c r="J24" s="33">
        <f>'ТСЖ 1 кв.2020г.'!J24+'ТСЖ 2 кв.2020г.'!Y24</f>
        <v>1050810.8</v>
      </c>
      <c r="K24" s="33">
        <f>'ТСЖ 1 кв.2020г.'!K24+'ТСЖ 2 кв.2020г.'!I24</f>
        <v>912795.92999999982</v>
      </c>
      <c r="L24" s="72"/>
      <c r="M24" s="61"/>
      <c r="N24" s="61">
        <v>124391</v>
      </c>
      <c r="O24" s="33">
        <f t="shared" si="4"/>
        <v>788404.92999999982</v>
      </c>
      <c r="P24" s="44">
        <v>420551</v>
      </c>
      <c r="Q24" s="65">
        <f t="shared" si="3"/>
        <v>86.865868717755831</v>
      </c>
      <c r="S24" s="93">
        <f t="shared" si="1"/>
        <v>138014.87000000023</v>
      </c>
      <c r="T24" s="93">
        <f t="shared" si="2"/>
        <v>138016.07000000004</v>
      </c>
      <c r="V24" s="93">
        <f t="shared" si="5"/>
        <v>124391</v>
      </c>
      <c r="Y24" s="92">
        <v>44898.42</v>
      </c>
    </row>
    <row r="25" spans="1:25" s="92" customFormat="1" ht="39" customHeight="1" thickBot="1">
      <c r="A25" s="32">
        <v>11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'ТСЖ 1 кв.2020г.'!H25-'ТСЖ 1 кв.2020г.'!I25+'ТСЖ 2 кв.2020г.'!Y25</f>
        <v>44125.290000000008</v>
      </c>
      <c r="I25" s="33">
        <f>15008.17+6.9</f>
        <v>15015.07</v>
      </c>
      <c r="J25" s="33">
        <f>'ТСЖ 1 кв.2020г.'!J25+'ТСЖ 2 кв.2020г.'!Y25</f>
        <v>422131.57999999996</v>
      </c>
      <c r="K25" s="33">
        <f>'ТСЖ 1 кв.2020г.'!K25+'ТСЖ 2 кв.2020г.'!I25</f>
        <v>393021.36</v>
      </c>
      <c r="L25" s="43"/>
      <c r="M25" s="66"/>
      <c r="N25" s="33">
        <v>248930</v>
      </c>
      <c r="O25" s="33">
        <f t="shared" si="4"/>
        <v>144091.35999999999</v>
      </c>
      <c r="P25" s="44">
        <v>146097.04999999999</v>
      </c>
      <c r="Q25" s="46">
        <f t="shared" si="3"/>
        <v>93.103993783170651</v>
      </c>
      <c r="S25" s="93">
        <f t="shared" si="1"/>
        <v>29110.219999999972</v>
      </c>
      <c r="T25" s="93">
        <f t="shared" si="2"/>
        <v>29110.220000000008</v>
      </c>
      <c r="U25" s="93"/>
      <c r="V25" s="93">
        <f t="shared" si="5"/>
        <v>248930</v>
      </c>
      <c r="Y25" s="92">
        <v>18046.5</v>
      </c>
    </row>
    <row r="26" spans="1:25" s="92" customFormat="1" ht="51" customHeight="1" thickBot="1">
      <c r="A26" s="32">
        <v>12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'ТСЖ 1 кв.2020г.'!H26-'ТСЖ 1 кв.2020г.'!I26+'ТСЖ 2 кв.2020г.'!Y26</f>
        <v>168322.29</v>
      </c>
      <c r="I26" s="33">
        <f>24150.99+150.54</f>
        <v>24301.530000000002</v>
      </c>
      <c r="J26" s="33">
        <f>'ТСЖ 1 кв.2020г.'!J26+'ТСЖ 2 кв.2020г.'!Y26</f>
        <v>788989.9800000001</v>
      </c>
      <c r="K26" s="33">
        <f>'ТСЖ 1 кв.2020г.'!K26+'ТСЖ 2 кв.2020г.'!I26</f>
        <v>644969.22000000009</v>
      </c>
      <c r="L26" s="43"/>
      <c r="M26" s="33"/>
      <c r="N26" s="33">
        <v>455040</v>
      </c>
      <c r="O26" s="33">
        <f t="shared" si="4"/>
        <v>189929.22000000009</v>
      </c>
      <c r="P26" s="44">
        <v>235115.53</v>
      </c>
      <c r="Q26" s="46">
        <f>K26/J26*100</f>
        <v>81.746186434458906</v>
      </c>
      <c r="S26" s="93">
        <f t="shared" si="1"/>
        <v>144020.76</v>
      </c>
      <c r="T26" s="93">
        <f t="shared" si="2"/>
        <v>144020.76</v>
      </c>
      <c r="V26" s="93">
        <f t="shared" si="5"/>
        <v>455040</v>
      </c>
      <c r="Y26" s="92">
        <v>33696.870000000003</v>
      </c>
    </row>
    <row r="27" spans="1:25" s="92" customFormat="1" ht="51.75" customHeight="1" thickBot="1">
      <c r="A27" s="32">
        <v>13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'ТСЖ 1 кв.2020г.'!H27-'ТСЖ 1 кв.2020г.'!I27+'ТСЖ 2 кв.2020г.'!Y27</f>
        <v>132964.11000000002</v>
      </c>
      <c r="I27" s="33">
        <f>20493.68+3.41</f>
        <v>20497.09</v>
      </c>
      <c r="J27" s="33">
        <f>'ТСЖ 1 кв.2020г.'!J27+'ТСЖ 2 кв.2020г.'!Y27</f>
        <v>780369.29999999993</v>
      </c>
      <c r="K27" s="33">
        <f>'ТСЖ 1 кв.2020г.'!K27+'ТСЖ 2 кв.2020г.'!I27</f>
        <v>667902.28</v>
      </c>
      <c r="L27" s="43"/>
      <c r="M27" s="66"/>
      <c r="N27" s="33">
        <v>475020</v>
      </c>
      <c r="O27" s="33">
        <f t="shared" si="4"/>
        <v>192882.28000000003</v>
      </c>
      <c r="P27" s="44">
        <v>287247.24</v>
      </c>
      <c r="Q27" s="46">
        <f>K27/J27*100</f>
        <v>85.587974821664574</v>
      </c>
      <c r="S27" s="93">
        <f t="shared" si="1"/>
        <v>112467.0199999999</v>
      </c>
      <c r="T27" s="93">
        <f t="shared" si="2"/>
        <v>112467.02000000002</v>
      </c>
      <c r="V27" s="93">
        <f t="shared" si="5"/>
        <v>475020</v>
      </c>
      <c r="Y27" s="92">
        <v>33300.959999999999</v>
      </c>
    </row>
    <row r="28" spans="1:25" s="92" customFormat="1" ht="43.5" customHeight="1" thickBot="1">
      <c r="A28" s="32">
        <v>14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'ТСЖ 1 кв.2020г.'!H28-'ТСЖ 1 кв.2020г.'!I28+'ТСЖ 2 кв.2020г.'!Y28</f>
        <v>269715.97000000003</v>
      </c>
      <c r="I28" s="33">
        <f>52919.06+362.67</f>
        <v>53281.729999999996</v>
      </c>
      <c r="J28" s="33">
        <f>'ТСЖ 1 кв.2020г.'!J28+'ТСЖ 2 кв.2020г.'!Y28</f>
        <v>1201982.23</v>
      </c>
      <c r="K28" s="33">
        <f>'ТСЖ 1 кв.2020г.'!K28+'ТСЖ 2 кв.2020г.'!I28</f>
        <v>985547.99</v>
      </c>
      <c r="L28" s="43"/>
      <c r="M28" s="33"/>
      <c r="N28" s="33">
        <v>548708</v>
      </c>
      <c r="O28" s="33">
        <f t="shared" si="4"/>
        <v>436839.99</v>
      </c>
      <c r="P28" s="44">
        <v>354498.41</v>
      </c>
      <c r="Q28" s="46">
        <f t="shared" si="3"/>
        <v>81.993557425553618</v>
      </c>
      <c r="S28" s="93">
        <f t="shared" si="1"/>
        <v>216434.24</v>
      </c>
      <c r="T28" s="93">
        <f t="shared" si="2"/>
        <v>216434.24000000005</v>
      </c>
      <c r="U28" s="93"/>
      <c r="V28" s="93">
        <f t="shared" si="5"/>
        <v>548708</v>
      </c>
      <c r="Y28" s="92">
        <v>51587.040000000001</v>
      </c>
    </row>
    <row r="29" spans="1:25" s="49" customFormat="1" ht="45" customHeight="1" thickBot="1">
      <c r="A29" s="32">
        <v>15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'ТСЖ 1 кв.2020г.'!H29-'ТСЖ 1 кв.2020г.'!I29+'ТСЖ 2 кв.2020г.'!Y29</f>
        <v>164007.66999999998</v>
      </c>
      <c r="I29" s="33">
        <f>52975.5+369.53</f>
        <v>53345.03</v>
      </c>
      <c r="J29" s="33">
        <f>'ТСЖ 1 кв.2020г.'!J29+'ТСЖ 2 кв.2020г.'!Y29</f>
        <v>795344.14</v>
      </c>
      <c r="K29" s="33">
        <f>'ТСЖ 1 кв.2020г.'!K29+'ТСЖ 2 кв.2020г.'!I29</f>
        <v>684681.5</v>
      </c>
      <c r="L29" s="43"/>
      <c r="M29" s="66"/>
      <c r="N29" s="33">
        <v>546055</v>
      </c>
      <c r="O29" s="33">
        <f t="shared" si="4"/>
        <v>138626.5</v>
      </c>
      <c r="P29" s="44">
        <v>309141.18</v>
      </c>
      <c r="Q29" s="46">
        <f t="shared" si="3"/>
        <v>86.086194084487758</v>
      </c>
      <c r="S29" s="48">
        <f t="shared" si="1"/>
        <v>110662.64000000001</v>
      </c>
      <c r="T29" s="48">
        <f t="shared" si="2"/>
        <v>110662.63999999998</v>
      </c>
      <c r="V29" s="93">
        <f t="shared" si="5"/>
        <v>546055</v>
      </c>
      <c r="Y29" s="49">
        <f>34020.38-65.93</f>
        <v>33954.449999999997</v>
      </c>
    </row>
    <row r="30" spans="1:25" ht="12.75" customHeight="1">
      <c r="A30" s="2"/>
    </row>
    <row r="31" spans="1:25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5" ht="15" customHeight="1">
      <c r="A32" s="2"/>
      <c r="B32" s="76" t="s">
        <v>164</v>
      </c>
      <c r="C32" s="203" t="s">
        <v>257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 hidden="1">
      <c r="A33" s="2"/>
      <c r="B33" s="77"/>
      <c r="C33" s="203" t="s">
        <v>131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5.75" hidden="1">
      <c r="A34" s="2"/>
      <c r="B34" s="77" t="s">
        <v>165</v>
      </c>
      <c r="C34" s="203" t="s">
        <v>185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</row>
    <row r="35" spans="1:15" ht="15.75" hidden="1">
      <c r="A35" s="2"/>
      <c r="B35" s="77" t="s">
        <v>166</v>
      </c>
      <c r="C35" s="203" t="s">
        <v>169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</row>
    <row r="36" spans="1:15" ht="15.75" hidden="1">
      <c r="A36" s="2"/>
      <c r="B36" s="77" t="s">
        <v>166</v>
      </c>
      <c r="C36" s="203" t="s">
        <v>186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</row>
    <row r="37" spans="1:15" ht="15.75" hidden="1">
      <c r="A37" s="2"/>
      <c r="B37" s="77" t="s">
        <v>167</v>
      </c>
      <c r="C37" s="203" t="s">
        <v>187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15" ht="15.75" hidden="1">
      <c r="A38" s="2"/>
      <c r="B38" s="77" t="s">
        <v>165</v>
      </c>
      <c r="C38" s="203" t="s">
        <v>180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5.75" hidden="1">
      <c r="A39" s="2"/>
      <c r="B39" s="77" t="s">
        <v>166</v>
      </c>
      <c r="C39" s="203" t="s">
        <v>181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5.75" hidden="1">
      <c r="A40" s="2"/>
      <c r="B40" s="77" t="s">
        <v>167</v>
      </c>
      <c r="C40" s="203" t="s">
        <v>182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15.75" hidden="1">
      <c r="A41" s="2"/>
      <c r="B41" s="75" t="s">
        <v>168</v>
      </c>
      <c r="C41" s="203" t="s">
        <v>178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5.75" hidden="1">
      <c r="A42" s="2"/>
      <c r="B42" s="75" t="s">
        <v>171</v>
      </c>
      <c r="C42" s="203" t="s">
        <v>170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15.75" hidden="1">
      <c r="A43" s="2"/>
      <c r="B43" s="75" t="s">
        <v>176</v>
      </c>
      <c r="C43" s="203" t="s">
        <v>179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5.75" hidden="1">
      <c r="A44" s="2"/>
      <c r="B44" s="75" t="s">
        <v>177</v>
      </c>
      <c r="C44" s="203" t="s">
        <v>172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27" customFormat="1" ht="15.75">
      <c r="A46" s="4" t="str">
        <f>'УК 2 кв. 2020г.'!A45</f>
        <v>06 июля 2020 г.</v>
      </c>
      <c r="I46" s="28"/>
    </row>
    <row r="47" spans="1:15" s="27" customFormat="1" ht="15.75">
      <c r="A47" s="4"/>
      <c r="I47" s="28"/>
    </row>
    <row r="48" spans="1:15" s="27" customFormat="1" ht="15.75">
      <c r="A48" s="4"/>
      <c r="I48" s="28"/>
    </row>
    <row r="49" spans="1:11" s="27" customFormat="1" ht="15.75">
      <c r="A49" s="4" t="s">
        <v>47</v>
      </c>
      <c r="I49" s="28"/>
    </row>
    <row r="50" spans="1:11" s="27" customFormat="1" ht="15.75" hidden="1">
      <c r="A50" s="30" t="s">
        <v>48</v>
      </c>
      <c r="I50" s="28"/>
    </row>
    <row r="51" spans="1:11">
      <c r="A51" s="1"/>
    </row>
    <row r="52" spans="1:11">
      <c r="A52" s="1"/>
      <c r="K52" s="3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  <row r="65" spans="1:1">
      <c r="A65" s="1"/>
    </row>
  </sheetData>
  <mergeCells count="37">
    <mergeCell ref="C32:O32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  <mergeCell ref="F11:F13"/>
    <mergeCell ref="G11:G13"/>
    <mergeCell ref="H11:I11"/>
    <mergeCell ref="J11:K11"/>
    <mergeCell ref="L11:N11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C33:O33"/>
    <mergeCell ref="C34:O34"/>
    <mergeCell ref="C35:O35"/>
    <mergeCell ref="C36:O36"/>
    <mergeCell ref="C44:O44"/>
    <mergeCell ref="C38:O38"/>
    <mergeCell ref="C39:O39"/>
    <mergeCell ref="C40:O40"/>
    <mergeCell ref="C41:O41"/>
    <mergeCell ref="C42:O42"/>
    <mergeCell ref="C43:O43"/>
    <mergeCell ref="C37:O37"/>
  </mergeCells>
  <pageMargins left="0.31496062992125984" right="0.31496062992125984" top="0.35433070866141736" bottom="0.35433070866141736" header="0.31496062992125984" footer="0.31496062992125984"/>
  <pageSetup paperSize="9" scale="5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V40"/>
  <sheetViews>
    <sheetView topLeftCell="A4" zoomScaleNormal="100" workbookViewId="0">
      <selection activeCell="W28" sqref="W28"/>
    </sheetView>
  </sheetViews>
  <sheetFormatPr defaultColWidth="9.140625" defaultRowHeight="15"/>
  <cols>
    <col min="1" max="1" width="9.140625" style="13"/>
    <col min="2" max="2" width="12.42578125" style="13" customWidth="1"/>
    <col min="3" max="3" width="28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0.42578125" style="13" customWidth="1"/>
    <col min="15" max="15" width="13.42578125" style="13" customWidth="1"/>
    <col min="16" max="16" width="6.7109375" style="15" customWidth="1"/>
    <col min="17" max="17" width="0.28515625" style="13" customWidth="1"/>
    <col min="18" max="18" width="11.5703125" style="13" bestFit="1" customWidth="1"/>
    <col min="19" max="19" width="10" style="13" bestFit="1" customWidth="1"/>
    <col min="20" max="20" width="9.140625" style="13"/>
    <col min="21" max="21" width="10" style="13" bestFit="1" customWidth="1"/>
    <col min="22" max="16384" width="9.140625" style="13"/>
  </cols>
  <sheetData>
    <row r="1" spans="1:21" ht="11.2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1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62"/>
    </row>
    <row r="3" spans="1:21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21" ht="15.75">
      <c r="A4" s="158" t="s">
        <v>213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1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1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1" ht="15.75">
      <c r="A7" s="1" t="s">
        <v>7</v>
      </c>
      <c r="D7" s="18" t="s">
        <v>51</v>
      </c>
      <c r="E7" s="17"/>
      <c r="F7" s="17"/>
      <c r="G7" s="17"/>
      <c r="H7" s="17"/>
    </row>
    <row r="8" spans="1:21">
      <c r="A8" s="1" t="s">
        <v>8</v>
      </c>
    </row>
    <row r="9" spans="1:21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1" ht="15.75">
      <c r="A10" s="18" t="s">
        <v>61</v>
      </c>
    </row>
    <row r="11" spans="1:21" ht="15.75">
      <c r="A11" s="18" t="s">
        <v>62</v>
      </c>
    </row>
    <row r="12" spans="1:21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</row>
    <row r="13" spans="1:21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</row>
    <row r="14" spans="1:21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</row>
    <row r="15" spans="1:21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U15" s="13" t="s">
        <v>228</v>
      </c>
    </row>
    <row r="16" spans="1:21" s="15" customFormat="1" ht="30">
      <c r="A16" s="32">
        <v>1</v>
      </c>
      <c r="B16" s="32" t="s">
        <v>28</v>
      </c>
      <c r="C16" s="32" t="s">
        <v>52</v>
      </c>
      <c r="D16" s="32">
        <v>2001</v>
      </c>
      <c r="E16" s="32"/>
      <c r="F16" s="33">
        <v>9312.5</v>
      </c>
      <c r="G16" s="32">
        <v>5.3</v>
      </c>
      <c r="H16" s="33">
        <f>176958.05+148068.78+2167.86</f>
        <v>327194.68999999994</v>
      </c>
      <c r="I16" s="33">
        <f>160434.08+492.57</f>
        <v>160926.65</v>
      </c>
      <c r="J16" s="33">
        <f>3342744.26-6939.59</f>
        <v>3335804.67</v>
      </c>
      <c r="K16" s="33">
        <f>O16+U16</f>
        <v>3169536.63</v>
      </c>
      <c r="L16" s="64"/>
      <c r="M16" s="47"/>
      <c r="N16" s="33">
        <v>894970.86</v>
      </c>
      <c r="O16" s="33">
        <v>2274565.77</v>
      </c>
      <c r="P16" s="63">
        <f>K16/J16*100</f>
        <v>95.015654198961229</v>
      </c>
      <c r="R16" s="19">
        <f>J16-K16</f>
        <v>166268.04000000004</v>
      </c>
      <c r="S16" s="19">
        <f>H16-I16</f>
        <v>166268.03999999995</v>
      </c>
      <c r="U16" s="15">
        <v>894970.86</v>
      </c>
    </row>
    <row r="17" spans="1:22" s="15" customFormat="1" ht="48.75" customHeight="1">
      <c r="A17" s="32">
        <v>1</v>
      </c>
      <c r="B17" s="32" t="s">
        <v>28</v>
      </c>
      <c r="C17" s="32" t="s">
        <v>57</v>
      </c>
      <c r="D17" s="32">
        <v>2011</v>
      </c>
      <c r="E17" s="32"/>
      <c r="F17" s="32" t="s">
        <v>58</v>
      </c>
      <c r="G17" s="32">
        <v>7.32</v>
      </c>
      <c r="H17" s="33">
        <f>66993.12+66855.09+319.14</f>
        <v>134167.35</v>
      </c>
      <c r="I17" s="33">
        <v>56874.61</v>
      </c>
      <c r="J17" s="33">
        <f>731684.93+12446.3+3652.2</f>
        <v>747783.43</v>
      </c>
      <c r="K17" s="33">
        <f>663796.8+6693.89</f>
        <v>670490.69000000006</v>
      </c>
      <c r="L17" s="32"/>
      <c r="M17" s="32"/>
      <c r="N17" s="33"/>
      <c r="O17" s="33">
        <f>K17-N17</f>
        <v>670490.69000000006</v>
      </c>
      <c r="P17" s="63">
        <f>K17/J17*100</f>
        <v>89.663753314245014</v>
      </c>
      <c r="R17" s="19">
        <f>J17-K17</f>
        <v>77292.739999999991</v>
      </c>
      <c r="S17" s="19">
        <f>H17-I17</f>
        <v>77292.740000000005</v>
      </c>
    </row>
    <row r="18" spans="1:22" s="15" customFormat="1" ht="51.75" customHeight="1">
      <c r="A18" s="32">
        <v>1</v>
      </c>
      <c r="B18" s="32" t="s">
        <v>28</v>
      </c>
      <c r="C18" s="32" t="s">
        <v>91</v>
      </c>
      <c r="D18" s="32">
        <v>2012</v>
      </c>
      <c r="E18" s="32"/>
      <c r="F18" s="33">
        <v>2517.1</v>
      </c>
      <c r="G18" s="32">
        <v>7.32</v>
      </c>
      <c r="H18" s="33">
        <f>441470.11+55277+7153.8</f>
        <v>503900.91</v>
      </c>
      <c r="I18" s="33">
        <v>30170.99</v>
      </c>
      <c r="J18" s="33">
        <f>1131964.56+63241.17</f>
        <v>1195205.73</v>
      </c>
      <c r="K18" s="33">
        <f>719463.54+15392.14-13379.87</f>
        <v>721475.81</v>
      </c>
      <c r="L18" s="34"/>
      <c r="M18" s="89" t="s">
        <v>216</v>
      </c>
      <c r="N18" s="33">
        <v>13500</v>
      </c>
      <c r="O18" s="33">
        <f>K18-N18</f>
        <v>707975.81</v>
      </c>
      <c r="P18" s="63">
        <f>K18/J18*100</f>
        <v>60.364152537990265</v>
      </c>
      <c r="R18" s="19">
        <f>J18-K18</f>
        <v>473729.91999999993</v>
      </c>
      <c r="S18" s="19">
        <f>H18-I18</f>
        <v>473729.92</v>
      </c>
    </row>
    <row r="19" spans="1:22" s="15" customFormat="1" ht="48.75" customHeight="1">
      <c r="A19" s="32">
        <v>1</v>
      </c>
      <c r="B19" s="32" t="s">
        <v>28</v>
      </c>
      <c r="C19" s="32" t="s">
        <v>92</v>
      </c>
      <c r="D19" s="32">
        <v>2012</v>
      </c>
      <c r="E19" s="32"/>
      <c r="F19" s="33">
        <v>2504.1999999999998</v>
      </c>
      <c r="G19" s="32">
        <v>7.32</v>
      </c>
      <c r="H19" s="33">
        <f>283674.97+59948.61+4277.04</f>
        <v>347900.61999999994</v>
      </c>
      <c r="I19" s="33">
        <v>66456.710000000006</v>
      </c>
      <c r="J19" s="33">
        <f>1334858.49+50289.9-1526.94</f>
        <v>1383621.45</v>
      </c>
      <c r="K19" s="33">
        <f>1085291.46+16886.08</f>
        <v>1102177.54</v>
      </c>
      <c r="L19" s="43">
        <v>43907</v>
      </c>
      <c r="M19" s="91" t="s">
        <v>219</v>
      </c>
      <c r="N19" s="33">
        <v>36227.4</v>
      </c>
      <c r="O19" s="33">
        <f t="shared" ref="O19:O20" si="0">K19-N19</f>
        <v>1065950.1400000001</v>
      </c>
      <c r="P19" s="63">
        <f>K19/J19*100</f>
        <v>79.658893695237239</v>
      </c>
      <c r="R19" s="19">
        <f>J19-K19</f>
        <v>281443.90999999992</v>
      </c>
      <c r="S19" s="19">
        <f t="shared" ref="S19:S20" si="1">H19-I19</f>
        <v>281443.90999999992</v>
      </c>
      <c r="U19" s="19"/>
      <c r="V19" s="19"/>
    </row>
    <row r="20" spans="1:22" ht="30">
      <c r="A20" s="32">
        <v>1</v>
      </c>
      <c r="B20" s="32" t="s">
        <v>28</v>
      </c>
      <c r="C20" s="32" t="s">
        <v>152</v>
      </c>
      <c r="D20" s="32">
        <v>2007</v>
      </c>
      <c r="E20" s="32"/>
      <c r="F20" s="33">
        <v>2915.6</v>
      </c>
      <c r="G20" s="32">
        <v>7.32</v>
      </c>
      <c r="H20" s="33">
        <f>418966.24+64094.67+6183.6</f>
        <v>489244.50999999995</v>
      </c>
      <c r="I20" s="33">
        <v>109986.35</v>
      </c>
      <c r="J20" s="33">
        <f>1434442.48+17341.01</f>
        <v>1451783.49</v>
      </c>
      <c r="K20" s="33">
        <f>1061437.5+11087.83</f>
        <v>1072525.33</v>
      </c>
      <c r="L20" s="32"/>
      <c r="M20" s="32"/>
      <c r="N20" s="33"/>
      <c r="O20" s="33">
        <f t="shared" si="0"/>
        <v>1072525.33</v>
      </c>
      <c r="P20" s="63">
        <f>K20/J20*100</f>
        <v>73.876396679507636</v>
      </c>
      <c r="R20" s="19">
        <f>J20-K20</f>
        <v>379258.15999999992</v>
      </c>
      <c r="S20" s="19">
        <f t="shared" si="1"/>
        <v>379258.15999999992</v>
      </c>
    </row>
    <row r="21" spans="1:22">
      <c r="A21" s="67"/>
      <c r="B21" s="67"/>
      <c r="C21" s="67"/>
      <c r="D21" s="67"/>
      <c r="E21" s="67"/>
      <c r="F21" s="68"/>
      <c r="G21" s="67"/>
      <c r="H21" s="68"/>
      <c r="I21" s="68"/>
      <c r="J21" s="68"/>
      <c r="K21" s="68"/>
      <c r="L21" s="67"/>
      <c r="M21" s="67"/>
      <c r="N21" s="67"/>
      <c r="O21" s="68"/>
      <c r="P21" s="63"/>
    </row>
    <row r="22" spans="1:22">
      <c r="A22" s="67"/>
      <c r="B22" s="67"/>
      <c r="C22" s="67"/>
      <c r="D22" s="67"/>
      <c r="E22" s="67"/>
      <c r="F22" s="68"/>
      <c r="G22" s="67"/>
      <c r="H22" s="68"/>
      <c r="I22" s="68"/>
      <c r="J22" s="68"/>
      <c r="K22" s="68"/>
      <c r="L22" s="67"/>
      <c r="M22" s="67"/>
      <c r="N22" s="67"/>
      <c r="O22" s="68"/>
      <c r="P22" s="63"/>
    </row>
    <row r="23" spans="1:22" s="17" customFormat="1" ht="15.75">
      <c r="A23" s="4" t="s">
        <v>64</v>
      </c>
      <c r="C23" s="90"/>
      <c r="D23" s="90"/>
      <c r="E23" s="90"/>
      <c r="F23" s="90"/>
      <c r="G23" s="90"/>
      <c r="H23" s="90"/>
      <c r="I23" s="90"/>
      <c r="J23" s="90"/>
      <c r="K23" s="90"/>
      <c r="L23" s="4"/>
      <c r="P23" s="62"/>
    </row>
    <row r="24" spans="1:22" s="17" customFormat="1" ht="15.75">
      <c r="A24" s="4"/>
      <c r="C24" s="90" t="s">
        <v>215</v>
      </c>
      <c r="D24" s="90"/>
      <c r="E24" s="90"/>
      <c r="F24" s="90"/>
      <c r="G24" s="90"/>
      <c r="H24" s="90"/>
      <c r="I24" s="90"/>
      <c r="J24" s="90"/>
      <c r="K24" s="90"/>
      <c r="L24" s="4"/>
      <c r="P24" s="62"/>
    </row>
    <row r="25" spans="1:22" s="17" customFormat="1" ht="15.75">
      <c r="A25" s="4"/>
      <c r="C25" s="90" t="s">
        <v>220</v>
      </c>
      <c r="D25" s="69"/>
      <c r="E25" s="69"/>
      <c r="F25" s="69"/>
      <c r="G25" s="69"/>
      <c r="H25" s="69"/>
      <c r="I25" s="69"/>
      <c r="J25" s="69"/>
      <c r="K25" s="69"/>
      <c r="P25" s="62"/>
    </row>
    <row r="26" spans="1:22" s="70" customFormat="1" ht="15.75">
      <c r="C26" s="90" t="s">
        <v>225</v>
      </c>
      <c r="D26" s="69"/>
      <c r="E26" s="69"/>
      <c r="F26" s="69"/>
      <c r="G26" s="69"/>
      <c r="H26" s="69"/>
      <c r="I26" s="69"/>
      <c r="J26" s="69"/>
      <c r="K26" s="69"/>
      <c r="P26" s="71"/>
    </row>
    <row r="27" spans="1:22" s="17" customFormat="1" ht="15.75">
      <c r="A27" s="4"/>
      <c r="C27" s="90" t="s">
        <v>226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/>
      <c r="C28" s="13" t="s">
        <v>227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2" s="17" customFormat="1" ht="15.75">
      <c r="A29" s="4"/>
      <c r="C29" s="13" t="s">
        <v>221</v>
      </c>
      <c r="D29" s="13"/>
      <c r="E29" s="13"/>
      <c r="F29" s="13"/>
      <c r="G29" s="13"/>
      <c r="H29" s="13"/>
      <c r="I29" s="13"/>
      <c r="J29" s="13"/>
      <c r="K29" s="13"/>
      <c r="P29" s="62"/>
    </row>
    <row r="30" spans="1:22" s="17" customFormat="1" ht="15.75">
      <c r="A30" s="4"/>
      <c r="C30" s="13" t="s">
        <v>222</v>
      </c>
      <c r="D30" s="13"/>
      <c r="E30" s="13"/>
      <c r="F30" s="13"/>
      <c r="G30" s="13"/>
      <c r="H30" s="13"/>
      <c r="I30" s="13"/>
      <c r="J30" s="13"/>
      <c r="K30" s="13"/>
      <c r="P30" s="62"/>
    </row>
    <row r="31" spans="1:22" s="17" customFormat="1" ht="15.75">
      <c r="A31" s="4"/>
      <c r="C31" s="13" t="s">
        <v>217</v>
      </c>
      <c r="D31" s="13"/>
      <c r="E31" s="13"/>
      <c r="F31" s="13"/>
      <c r="G31" s="13"/>
      <c r="H31" s="13"/>
      <c r="I31" s="13"/>
      <c r="J31" s="13"/>
      <c r="K31" s="13"/>
      <c r="P31" s="62"/>
    </row>
    <row r="32" spans="1:22" s="17" customFormat="1" ht="15.75">
      <c r="A32" s="4"/>
      <c r="C32" s="13" t="s">
        <v>223</v>
      </c>
      <c r="D32" s="13"/>
      <c r="E32" s="13"/>
      <c r="F32" s="13"/>
      <c r="G32" s="13"/>
      <c r="H32" s="13"/>
      <c r="I32" s="13"/>
      <c r="J32" s="13"/>
      <c r="K32" s="13"/>
      <c r="P32" s="62"/>
    </row>
    <row r="33" spans="1:16" s="17" customFormat="1" ht="15.75">
      <c r="A33" s="4"/>
      <c r="C33" s="13" t="s">
        <v>218</v>
      </c>
      <c r="D33" s="13"/>
      <c r="E33" s="13"/>
      <c r="F33" s="13"/>
      <c r="G33" s="13"/>
      <c r="H33" s="13"/>
      <c r="I33" s="13"/>
      <c r="J33" s="13"/>
      <c r="K33" s="13"/>
      <c r="P33" s="62"/>
    </row>
    <row r="34" spans="1:16" s="17" customFormat="1" ht="15.75">
      <c r="A34" s="4"/>
      <c r="C34" s="13" t="s">
        <v>224</v>
      </c>
      <c r="D34" s="13"/>
      <c r="E34" s="13"/>
      <c r="F34" s="13"/>
      <c r="G34" s="13"/>
      <c r="H34" s="13"/>
      <c r="I34" s="13"/>
      <c r="J34" s="13"/>
      <c r="K34" s="13"/>
      <c r="P34" s="62"/>
    </row>
    <row r="35" spans="1:16" s="17" customFormat="1" ht="15.75">
      <c r="A35" s="4"/>
      <c r="C35" s="13"/>
      <c r="D35" s="13"/>
      <c r="E35" s="13"/>
      <c r="F35" s="13"/>
      <c r="G35" s="13"/>
      <c r="H35" s="13"/>
      <c r="I35" s="13"/>
      <c r="J35" s="13"/>
      <c r="K35" s="13"/>
      <c r="P35" s="62"/>
    </row>
    <row r="36" spans="1:16" s="17" customFormat="1" ht="15.75">
      <c r="A36" s="4"/>
      <c r="C36" s="13"/>
      <c r="D36" s="13"/>
      <c r="E36" s="13"/>
      <c r="F36" s="13"/>
      <c r="G36" s="13"/>
      <c r="H36" s="13"/>
      <c r="I36" s="13"/>
      <c r="J36" s="13"/>
      <c r="K36" s="13"/>
      <c r="P36" s="62"/>
    </row>
    <row r="37" spans="1:16" s="17" customFormat="1" ht="15.75">
      <c r="A37" s="4" t="s">
        <v>214</v>
      </c>
      <c r="P37" s="62"/>
    </row>
    <row r="38" spans="1:16" s="17" customFormat="1" ht="15.75">
      <c r="A38" s="4" t="s">
        <v>59</v>
      </c>
      <c r="P38" s="62"/>
    </row>
    <row r="39" spans="1:16" s="17" customFormat="1" ht="15.75">
      <c r="A39" s="4"/>
      <c r="P39" s="62"/>
    </row>
    <row r="40" spans="1:16">
      <c r="A40" s="2" t="s">
        <v>48</v>
      </c>
    </row>
  </sheetData>
  <mergeCells count="24">
    <mergeCell ref="K13:K14"/>
    <mergeCell ref="L13:L14"/>
    <mergeCell ref="M13:M14"/>
    <mergeCell ref="N13:N14"/>
    <mergeCell ref="G12:G14"/>
    <mergeCell ref="H12:I12"/>
    <mergeCell ref="J12:K12"/>
    <mergeCell ref="L12:N12"/>
    <mergeCell ref="F12:F14"/>
    <mergeCell ref="A1:O1"/>
    <mergeCell ref="A2:O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H13:H14"/>
    <mergeCell ref="I13:I14"/>
    <mergeCell ref="J13:J14"/>
  </mergeCells>
  <pageMargins left="0.78740157480314965" right="0.39370078740157483" top="0.98425196850393704" bottom="0.35433070866141736" header="0.31496062992125984" footer="0.31496062992125984"/>
  <pageSetup paperSize="9" scale="6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5"/>
  <sheetViews>
    <sheetView topLeftCell="A12" workbookViewId="0">
      <selection activeCell="W28" sqref="W28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</cols>
  <sheetData>
    <row r="1" spans="1:23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23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23" s="13" customFormat="1" ht="15.75">
      <c r="A3" s="158" t="str">
        <f>'УК 1 кв. 2020г.'!A4:O4</f>
        <v xml:space="preserve">по состоянию за 1 квартал 2020 года на 01 апреля 2020 года 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23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</row>
    <row r="5" spans="1:23" s="13" customFormat="1" ht="9.7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</row>
    <row r="6" spans="1:23" s="13" customFormat="1" ht="15.75">
      <c r="A6" s="1" t="s">
        <v>7</v>
      </c>
      <c r="D6" s="18" t="s">
        <v>68</v>
      </c>
      <c r="E6" s="17"/>
      <c r="F6" s="17"/>
      <c r="G6" s="17"/>
      <c r="H6" s="17"/>
    </row>
    <row r="7" spans="1:23" s="13" customFormat="1">
      <c r="A7" s="1" t="s">
        <v>8</v>
      </c>
    </row>
    <row r="8" spans="1:23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</row>
    <row r="9" spans="1:23" s="13" customFormat="1" ht="15.75">
      <c r="A9" s="18" t="s">
        <v>69</v>
      </c>
    </row>
    <row r="10" spans="1:23" s="13" customFormat="1" ht="15.75">
      <c r="A10" s="18" t="s">
        <v>70</v>
      </c>
    </row>
    <row r="11" spans="1:23" s="38" customFormat="1" ht="42" customHeight="1">
      <c r="A11" s="160" t="s">
        <v>10</v>
      </c>
      <c r="B11" s="205" t="s">
        <v>11</v>
      </c>
      <c r="C11" s="160" t="s">
        <v>12</v>
      </c>
      <c r="D11" s="160" t="s">
        <v>13</v>
      </c>
      <c r="E11" s="160" t="s">
        <v>14</v>
      </c>
      <c r="F11" s="160" t="s">
        <v>15</v>
      </c>
      <c r="G11" s="160" t="s">
        <v>16</v>
      </c>
      <c r="H11" s="204" t="s">
        <v>17</v>
      </c>
      <c r="I11" s="204"/>
      <c r="J11" s="204" t="s">
        <v>18</v>
      </c>
      <c r="K11" s="204"/>
      <c r="L11" s="204" t="s">
        <v>19</v>
      </c>
      <c r="M11" s="204"/>
      <c r="N11" s="204"/>
      <c r="O11" s="204" t="s">
        <v>20</v>
      </c>
      <c r="P11" s="14"/>
      <c r="Q11" s="208" t="s">
        <v>102</v>
      </c>
    </row>
    <row r="12" spans="1:23" s="38" customFormat="1" ht="12.75">
      <c r="A12" s="161"/>
      <c r="B12" s="206"/>
      <c r="C12" s="161"/>
      <c r="D12" s="161"/>
      <c r="E12" s="161"/>
      <c r="F12" s="161"/>
      <c r="G12" s="161"/>
      <c r="H12" s="204" t="s">
        <v>21</v>
      </c>
      <c r="I12" s="204" t="s">
        <v>22</v>
      </c>
      <c r="J12" s="204" t="s">
        <v>23</v>
      </c>
      <c r="K12" s="204" t="s">
        <v>24</v>
      </c>
      <c r="L12" s="204" t="s">
        <v>25</v>
      </c>
      <c r="M12" s="204" t="s">
        <v>26</v>
      </c>
      <c r="N12" s="204" t="s">
        <v>27</v>
      </c>
      <c r="O12" s="204"/>
      <c r="P12" s="14"/>
      <c r="Q12" s="209"/>
    </row>
    <row r="13" spans="1:23" s="38" customFormat="1" ht="93" customHeight="1">
      <c r="A13" s="162"/>
      <c r="B13" s="207"/>
      <c r="C13" s="162"/>
      <c r="D13" s="162"/>
      <c r="E13" s="162"/>
      <c r="F13" s="162"/>
      <c r="G13" s="162"/>
      <c r="H13" s="204"/>
      <c r="I13" s="204"/>
      <c r="J13" s="204"/>
      <c r="K13" s="204"/>
      <c r="L13" s="204"/>
      <c r="M13" s="204"/>
      <c r="N13" s="204"/>
      <c r="O13" s="204"/>
      <c r="P13" s="14"/>
      <c r="Q13" s="210"/>
      <c r="V13" s="38" t="s">
        <v>229</v>
      </c>
      <c r="W13" s="38" t="s">
        <v>230</v>
      </c>
    </row>
    <row r="14" spans="1:23" s="14" customFormat="1" ht="11.25">
      <c r="A14" s="51">
        <v>1</v>
      </c>
      <c r="B14" s="52">
        <v>1</v>
      </c>
      <c r="C14" s="51">
        <v>2</v>
      </c>
      <c r="D14" s="51">
        <v>3</v>
      </c>
      <c r="E14" s="51">
        <v>4</v>
      </c>
      <c r="F14" s="51">
        <v>5</v>
      </c>
      <c r="G14" s="51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3">
        <v>14</v>
      </c>
      <c r="Q14" s="54"/>
    </row>
    <row r="15" spans="1:23" s="49" customFormat="1" ht="30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333735.1+75529.77+1858.32</f>
        <v>411123.19</v>
      </c>
      <c r="I15" s="33">
        <v>131456.35999999999</v>
      </c>
      <c r="J15" s="33">
        <f>1688591.78+6287.7-300</f>
        <v>1694579.48</v>
      </c>
      <c r="K15" s="33">
        <f>1414246.85+666.35+W15</f>
        <v>1417566.6500000001</v>
      </c>
      <c r="L15" s="43"/>
      <c r="M15" s="66"/>
      <c r="N15" s="33">
        <v>426357.21</v>
      </c>
      <c r="O15" s="33">
        <f>K15-V15</f>
        <v>991209.44000000018</v>
      </c>
      <c r="P15" s="74">
        <v>520817.08</v>
      </c>
      <c r="Q15" s="46">
        <f>K15/J15*100</f>
        <v>83.653004579047547</v>
      </c>
      <c r="S15" s="48">
        <f>J15-K15+W15</f>
        <v>279666.27999999985</v>
      </c>
      <c r="T15" s="48">
        <f>H15-I15</f>
        <v>279666.83</v>
      </c>
      <c r="V15" s="48">
        <v>426357.21</v>
      </c>
      <c r="W15" s="49">
        <v>2653.45</v>
      </c>
    </row>
    <row r="16" spans="1:23" s="49" customFormat="1" ht="51" customHeight="1">
      <c r="A16" s="32">
        <v>1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33">
        <f>33316.16+30349.92+286.85</f>
        <v>63952.93</v>
      </c>
      <c r="I16" s="33">
        <v>23487.97</v>
      </c>
      <c r="J16" s="33">
        <f>678031.64+1283.23</f>
        <v>679314.87</v>
      </c>
      <c r="K16" s="33">
        <v>638849.91</v>
      </c>
      <c r="L16" s="43"/>
      <c r="M16" s="66"/>
      <c r="N16" s="33">
        <v>221688.82</v>
      </c>
      <c r="O16" s="33">
        <f t="shared" ref="O16:O18" si="0">K16-V16</f>
        <v>417161.09</v>
      </c>
      <c r="P16" s="78">
        <v>264064.82</v>
      </c>
      <c r="Q16" s="46">
        <f>K16/J16*100</f>
        <v>94.043268918874105</v>
      </c>
      <c r="S16" s="48">
        <f t="shared" ref="S16:S29" si="1">J16-K16+W16</f>
        <v>40464.959999999963</v>
      </c>
      <c r="T16" s="48">
        <f t="shared" ref="T16:T29" si="2">H16-I16</f>
        <v>40464.959999999999</v>
      </c>
      <c r="V16" s="48">
        <v>221688.82</v>
      </c>
    </row>
    <row r="17" spans="1:22" s="49" customFormat="1" ht="30">
      <c r="A17" s="60">
        <v>1</v>
      </c>
      <c r="B17" s="60" t="s">
        <v>28</v>
      </c>
      <c r="C17" s="60" t="s">
        <v>72</v>
      </c>
      <c r="D17" s="60"/>
      <c r="E17" s="60"/>
      <c r="F17" s="61">
        <v>1947.3</v>
      </c>
      <c r="G17" s="60">
        <v>5.3</v>
      </c>
      <c r="H17" s="61">
        <f>125913.48+30962.07+660.76</f>
        <v>157536.31</v>
      </c>
      <c r="I17" s="61">
        <v>34416.68</v>
      </c>
      <c r="J17" s="61">
        <f>693905.57+2449.97</f>
        <v>696355.53999999992</v>
      </c>
      <c r="K17" s="61">
        <f>572433.02+802.89</f>
        <v>573235.91</v>
      </c>
      <c r="L17" s="72"/>
      <c r="M17" s="73"/>
      <c r="N17" s="61">
        <v>476040</v>
      </c>
      <c r="O17" s="61">
        <f t="shared" si="0"/>
        <v>97195.910000000033</v>
      </c>
      <c r="P17" s="74">
        <v>253163.82</v>
      </c>
      <c r="Q17" s="65">
        <f>K17/J17*100</f>
        <v>82.319429813109565</v>
      </c>
      <c r="S17" s="48">
        <f t="shared" si="1"/>
        <v>123119.62999999989</v>
      </c>
      <c r="T17" s="48">
        <f t="shared" si="2"/>
        <v>123119.63</v>
      </c>
      <c r="V17" s="48">
        <v>476040</v>
      </c>
    </row>
    <row r="18" spans="1:22" s="49" customFormat="1" ht="63.75" customHeight="1" thickBot="1">
      <c r="A18" s="60">
        <v>1</v>
      </c>
      <c r="B18" s="60" t="s">
        <v>28</v>
      </c>
      <c r="C18" s="60" t="s">
        <v>71</v>
      </c>
      <c r="D18" s="60"/>
      <c r="E18" s="60"/>
      <c r="F18" s="61">
        <v>2983.5</v>
      </c>
      <c r="G18" s="60">
        <v>5.3</v>
      </c>
      <c r="H18" s="61">
        <f>224525.12+47437.65+1333.75</f>
        <v>273296.52</v>
      </c>
      <c r="I18" s="61">
        <f>60936.53</f>
        <v>60936.53</v>
      </c>
      <c r="J18" s="61">
        <f>1060010.51+4641.05</f>
        <v>1064651.56</v>
      </c>
      <c r="K18" s="61">
        <f>837815.7+800.23+13675.64</f>
        <v>852291.57</v>
      </c>
      <c r="L18" s="72"/>
      <c r="M18" s="73"/>
      <c r="N18" s="61">
        <f>V18</f>
        <v>731630</v>
      </c>
      <c r="O18" s="33">
        <f t="shared" si="0"/>
        <v>120661.56999999995</v>
      </c>
      <c r="P18" s="44">
        <v>378042.71</v>
      </c>
      <c r="Q18" s="65">
        <f t="shared" ref="Q18:Q29" si="3">K18/J18*100</f>
        <v>80.053568887834061</v>
      </c>
      <c r="S18" s="48">
        <f t="shared" si="1"/>
        <v>212359.99000000011</v>
      </c>
      <c r="T18" s="48">
        <f t="shared" si="2"/>
        <v>212359.99000000002</v>
      </c>
      <c r="V18" s="48">
        <v>731630</v>
      </c>
    </row>
    <row r="19" spans="1:22" s="92" customFormat="1" ht="39.75" customHeight="1" thickBot="1">
      <c r="A19" s="32">
        <v>1</v>
      </c>
      <c r="B19" s="32" t="s">
        <v>28</v>
      </c>
      <c r="C19" s="32" t="s">
        <v>73</v>
      </c>
      <c r="D19" s="32"/>
      <c r="E19" s="32"/>
      <c r="F19" s="33">
        <v>1699.9</v>
      </c>
      <c r="G19" s="32">
        <v>5.3</v>
      </c>
      <c r="H19" s="33">
        <f>94567.17+27025.23+612.33</f>
        <v>122204.73</v>
      </c>
      <c r="I19" s="33">
        <f>26092.49+1.48</f>
        <v>26093.97</v>
      </c>
      <c r="J19" s="33">
        <f>604690.79+1949.08+60.95</f>
        <v>606700.81999999995</v>
      </c>
      <c r="K19" s="33">
        <f>510364.49+225.57</f>
        <v>510590.06</v>
      </c>
      <c r="L19" s="43"/>
      <c r="M19" s="66"/>
      <c r="N19" s="33">
        <v>230810</v>
      </c>
      <c r="O19" s="33">
        <f>K19-N19</f>
        <v>279780.06</v>
      </c>
      <c r="P19" s="44">
        <v>252978.03</v>
      </c>
      <c r="Q19" s="46">
        <f>K19/J19*100</f>
        <v>84.158458859508386</v>
      </c>
      <c r="S19" s="93">
        <f t="shared" si="1"/>
        <v>96110.759999999951</v>
      </c>
      <c r="T19" s="93">
        <f t="shared" si="2"/>
        <v>96110.76</v>
      </c>
      <c r="V19" s="93">
        <v>230810</v>
      </c>
    </row>
    <row r="20" spans="1:22" s="92" customFormat="1" ht="72.75" customHeight="1">
      <c r="A20" s="32">
        <v>1</v>
      </c>
      <c r="B20" s="32" t="s">
        <v>28</v>
      </c>
      <c r="C20" s="32" t="s">
        <v>35</v>
      </c>
      <c r="D20" s="32"/>
      <c r="E20" s="32"/>
      <c r="F20" s="33">
        <v>1189</v>
      </c>
      <c r="G20" s="32">
        <v>5.3</v>
      </c>
      <c r="H20" s="33">
        <f>93119.27+18905.1+282.05</f>
        <v>112306.42</v>
      </c>
      <c r="I20" s="33">
        <f>50637.04+267.89</f>
        <v>50904.93</v>
      </c>
      <c r="J20" s="33">
        <f>422757.33+1196.97+10</f>
        <v>423964.3</v>
      </c>
      <c r="K20" s="33">
        <f>360482.4+448.61+1621.8+10</f>
        <v>362562.81</v>
      </c>
      <c r="L20" s="43"/>
      <c r="M20" s="66"/>
      <c r="N20" s="33">
        <v>208003.99</v>
      </c>
      <c r="O20" s="33">
        <f t="shared" ref="O20:O29" si="4">K20-N20</f>
        <v>154558.82</v>
      </c>
      <c r="P20" s="74">
        <v>124839.69</v>
      </c>
      <c r="Q20" s="46">
        <f t="shared" si="3"/>
        <v>85.51729709317506</v>
      </c>
      <c r="S20" s="93">
        <f t="shared" si="1"/>
        <v>61401.489999999991</v>
      </c>
      <c r="T20" s="93">
        <f t="shared" si="2"/>
        <v>61401.49</v>
      </c>
      <c r="V20" s="93">
        <v>208003.99</v>
      </c>
    </row>
    <row r="21" spans="1:22" s="92" customFormat="1" ht="52.5" customHeight="1" thickBot="1">
      <c r="A21" s="60">
        <v>1</v>
      </c>
      <c r="B21" s="60" t="s">
        <v>28</v>
      </c>
      <c r="C21" s="60" t="s">
        <v>36</v>
      </c>
      <c r="D21" s="60"/>
      <c r="E21" s="60"/>
      <c r="F21" s="61">
        <v>2428.02</v>
      </c>
      <c r="G21" s="60">
        <v>5.3</v>
      </c>
      <c r="H21" s="61">
        <f>94259.56+38605.53+414.33</f>
        <v>133279.41999999998</v>
      </c>
      <c r="I21" s="61">
        <f>31777.26+47.79</f>
        <v>31825.05</v>
      </c>
      <c r="J21" s="61">
        <v>859239.69</v>
      </c>
      <c r="K21" s="61">
        <v>757785.32</v>
      </c>
      <c r="L21" s="72"/>
      <c r="M21" s="61"/>
      <c r="N21" s="61"/>
      <c r="O21" s="61">
        <f t="shared" si="4"/>
        <v>757785.32</v>
      </c>
      <c r="P21" s="44">
        <v>388089.32</v>
      </c>
      <c r="Q21" s="65">
        <f t="shared" si="3"/>
        <v>88.19254147815262</v>
      </c>
      <c r="S21" s="93">
        <f t="shared" si="1"/>
        <v>101454.37</v>
      </c>
      <c r="T21" s="93">
        <f t="shared" si="2"/>
        <v>101454.36999999998</v>
      </c>
    </row>
    <row r="22" spans="1:22" s="92" customFormat="1" ht="72" customHeight="1">
      <c r="A22" s="32"/>
      <c r="B22" s="32" t="s">
        <v>28</v>
      </c>
      <c r="C22" s="32" t="s">
        <v>75</v>
      </c>
      <c r="D22" s="32"/>
      <c r="E22" s="32"/>
      <c r="F22" s="32">
        <v>2077.9</v>
      </c>
      <c r="G22" s="32">
        <v>5.3</v>
      </c>
      <c r="H22" s="33">
        <f>37140.28+33038.61+435.21</f>
        <v>70614.100000000006</v>
      </c>
      <c r="I22" s="33">
        <f>27672.26+280.74</f>
        <v>27953</v>
      </c>
      <c r="J22" s="33">
        <f>738448.47+2061.36</f>
        <v>740509.83</v>
      </c>
      <c r="K22" s="33">
        <f>697252.98+973.75-378</f>
        <v>697848.73</v>
      </c>
      <c r="L22" s="43"/>
      <c r="M22" s="66"/>
      <c r="N22" s="33">
        <v>236291.47</v>
      </c>
      <c r="O22" s="33">
        <f t="shared" si="4"/>
        <v>461557.26</v>
      </c>
      <c r="P22" s="74">
        <v>223464.31</v>
      </c>
      <c r="Q22" s="46">
        <f>K22/J22*100</f>
        <v>94.238955612513607</v>
      </c>
      <c r="S22" s="93">
        <f t="shared" si="1"/>
        <v>42661.099999999977</v>
      </c>
      <c r="T22" s="93">
        <f t="shared" si="2"/>
        <v>42661.100000000006</v>
      </c>
      <c r="V22" s="93">
        <f>N22</f>
        <v>236291.47</v>
      </c>
    </row>
    <row r="23" spans="1:22" s="92" customFormat="1" ht="66.75" customHeight="1">
      <c r="A23" s="32"/>
      <c r="B23" s="32" t="s">
        <v>28</v>
      </c>
      <c r="C23" s="32" t="s">
        <v>74</v>
      </c>
      <c r="D23" s="32"/>
      <c r="E23" s="32"/>
      <c r="F23" s="33">
        <v>2087.9</v>
      </c>
      <c r="G23" s="32">
        <v>5.3</v>
      </c>
      <c r="H23" s="33">
        <f>68762.27+33221.46+302.89</f>
        <v>102286.62000000001</v>
      </c>
      <c r="I23" s="33">
        <f>41015.43+263.23</f>
        <v>41278.660000000003</v>
      </c>
      <c r="J23" s="33">
        <f>742876.64+1285.41</f>
        <v>744162.05</v>
      </c>
      <c r="K23" s="33">
        <f>682692.61+461.48</f>
        <v>683154.09</v>
      </c>
      <c r="L23" s="43"/>
      <c r="M23" s="66"/>
      <c r="N23" s="33">
        <v>236291.47</v>
      </c>
      <c r="O23" s="33">
        <f t="shared" si="4"/>
        <v>446862.62</v>
      </c>
      <c r="P23" s="78">
        <v>243907.98</v>
      </c>
      <c r="Q23" s="46">
        <f t="shared" si="3"/>
        <v>91.80179102118953</v>
      </c>
      <c r="S23" s="93">
        <f t="shared" si="1"/>
        <v>61007.960000000079</v>
      </c>
      <c r="T23" s="93">
        <f t="shared" si="2"/>
        <v>61007.960000000006</v>
      </c>
      <c r="V23" s="93">
        <f t="shared" ref="V23:V29" si="5">N23</f>
        <v>236291.47</v>
      </c>
    </row>
    <row r="24" spans="1:22" s="92" customFormat="1" ht="45.75" thickBot="1">
      <c r="A24" s="60">
        <v>1</v>
      </c>
      <c r="B24" s="60" t="s">
        <v>28</v>
      </c>
      <c r="C24" s="60" t="s">
        <v>34</v>
      </c>
      <c r="D24" s="60"/>
      <c r="E24" s="60"/>
      <c r="F24" s="61">
        <v>2823.8</v>
      </c>
      <c r="G24" s="60">
        <v>5.3</v>
      </c>
      <c r="H24" s="61">
        <f>119325.9+44898.42+790.79</f>
        <v>165015.11000000002</v>
      </c>
      <c r="I24" s="61">
        <f>31442.85+9.9</f>
        <v>31452.75</v>
      </c>
      <c r="J24" s="61">
        <f>1001020.1+2525.4+2366.88</f>
        <v>1005912.38</v>
      </c>
      <c r="K24" s="61">
        <f>872001.19+349.83+0.2</f>
        <v>872351.21999999986</v>
      </c>
      <c r="L24" s="72"/>
      <c r="M24" s="61"/>
      <c r="N24" s="61">
        <v>124391</v>
      </c>
      <c r="O24" s="33">
        <f t="shared" si="4"/>
        <v>747960.21999999986</v>
      </c>
      <c r="P24" s="44">
        <v>420551</v>
      </c>
      <c r="Q24" s="65">
        <f t="shared" si="3"/>
        <v>86.722386297701178</v>
      </c>
      <c r="S24" s="93">
        <f t="shared" si="1"/>
        <v>133561.16000000015</v>
      </c>
      <c r="T24" s="93">
        <f t="shared" si="2"/>
        <v>133562.36000000002</v>
      </c>
      <c r="V24" s="93">
        <f t="shared" si="5"/>
        <v>124391</v>
      </c>
    </row>
    <row r="25" spans="1:22" s="92" customFormat="1" ht="39" customHeight="1" thickBot="1">
      <c r="A25" s="32">
        <v>1</v>
      </c>
      <c r="B25" s="32" t="s">
        <v>37</v>
      </c>
      <c r="C25" s="32" t="s">
        <v>38</v>
      </c>
      <c r="D25" s="32"/>
      <c r="E25" s="32"/>
      <c r="F25" s="33">
        <v>1135</v>
      </c>
      <c r="G25" s="32">
        <v>5.3</v>
      </c>
      <c r="H25" s="33">
        <f>23433.55+18046.5+124.41</f>
        <v>41604.460000000006</v>
      </c>
      <c r="I25" s="33">
        <f>15360.45+165.22</f>
        <v>15525.67</v>
      </c>
      <c r="J25" s="33">
        <f>403198.81+683.6+200+2.67</f>
        <v>404085.07999999996</v>
      </c>
      <c r="K25" s="33">
        <v>378006.29</v>
      </c>
      <c r="L25" s="43"/>
      <c r="M25" s="66"/>
      <c r="N25" s="33">
        <v>248930</v>
      </c>
      <c r="O25" s="33">
        <f t="shared" si="4"/>
        <v>129076.28999999998</v>
      </c>
      <c r="P25" s="44">
        <v>146097.04999999999</v>
      </c>
      <c r="Q25" s="46">
        <f t="shared" si="3"/>
        <v>93.54621308958005</v>
      </c>
      <c r="S25" s="93">
        <f t="shared" si="1"/>
        <v>26078.789999999979</v>
      </c>
      <c r="T25" s="93">
        <f t="shared" si="2"/>
        <v>26078.790000000008</v>
      </c>
      <c r="U25" s="93"/>
      <c r="V25" s="93">
        <f t="shared" si="5"/>
        <v>248930</v>
      </c>
    </row>
    <row r="26" spans="1:22" s="92" customFormat="1" ht="51" customHeight="1" thickBot="1">
      <c r="A26" s="32">
        <v>1</v>
      </c>
      <c r="B26" s="32" t="s">
        <v>37</v>
      </c>
      <c r="C26" s="32" t="s">
        <v>40</v>
      </c>
      <c r="D26" s="32"/>
      <c r="E26" s="32"/>
      <c r="F26" s="33">
        <v>2119.3000000000002</v>
      </c>
      <c r="G26" s="32">
        <v>5.3</v>
      </c>
      <c r="H26" s="33">
        <f>126706.35+33696.87+673.2</f>
        <v>161076.42000000001</v>
      </c>
      <c r="I26" s="33">
        <f>26375.09+75.91</f>
        <v>26451</v>
      </c>
      <c r="J26" s="33">
        <f>752912.93+2380.18</f>
        <v>755293.1100000001</v>
      </c>
      <c r="K26" s="33">
        <f>620115.43+552.26</f>
        <v>620667.69000000006</v>
      </c>
      <c r="L26" s="43"/>
      <c r="M26" s="33"/>
      <c r="N26" s="33">
        <v>455040</v>
      </c>
      <c r="O26" s="33">
        <f t="shared" si="4"/>
        <v>165627.69000000006</v>
      </c>
      <c r="P26" s="44">
        <v>235115.53</v>
      </c>
      <c r="Q26" s="46">
        <f>K26/J26*100</f>
        <v>82.175738369968713</v>
      </c>
      <c r="S26" s="93">
        <f t="shared" si="1"/>
        <v>134625.42000000004</v>
      </c>
      <c r="T26" s="93">
        <f t="shared" si="2"/>
        <v>134625.42000000001</v>
      </c>
      <c r="V26" s="93">
        <f t="shared" si="5"/>
        <v>455040</v>
      </c>
    </row>
    <row r="27" spans="1:22" s="92" customFormat="1" ht="51.75" customHeight="1" thickBot="1">
      <c r="A27" s="32">
        <v>1</v>
      </c>
      <c r="B27" s="32" t="s">
        <v>28</v>
      </c>
      <c r="C27" s="32" t="s">
        <v>42</v>
      </c>
      <c r="D27" s="32"/>
      <c r="E27" s="32"/>
      <c r="F27" s="33">
        <v>2094.4</v>
      </c>
      <c r="G27" s="32">
        <v>5.3</v>
      </c>
      <c r="H27" s="33">
        <f>95551.21+33300.96+516.99</f>
        <v>129369.16000000002</v>
      </c>
      <c r="I27" s="33">
        <f>29626.11+79.9</f>
        <v>29706.010000000002</v>
      </c>
      <c r="J27" s="33">
        <f>745431.14+1637.2</f>
        <v>747068.34</v>
      </c>
      <c r="K27" s="33">
        <f>647160.52+244.67</f>
        <v>647405.19000000006</v>
      </c>
      <c r="L27" s="43"/>
      <c r="M27" s="66"/>
      <c r="N27" s="33">
        <v>475020</v>
      </c>
      <c r="O27" s="33">
        <f t="shared" si="4"/>
        <v>172385.19000000006</v>
      </c>
      <c r="P27" s="44">
        <v>287247.24</v>
      </c>
      <c r="Q27" s="46">
        <f>K27/J27*100</f>
        <v>86.65943332573832</v>
      </c>
      <c r="S27" s="93">
        <f t="shared" si="1"/>
        <v>99663.149999999907</v>
      </c>
      <c r="T27" s="93">
        <f t="shared" si="2"/>
        <v>99663.150000000023</v>
      </c>
      <c r="V27" s="93">
        <f t="shared" si="5"/>
        <v>475020</v>
      </c>
    </row>
    <row r="28" spans="1:22" s="92" customFormat="1" ht="43.5" customHeight="1" thickBot="1">
      <c r="A28" s="32">
        <v>1</v>
      </c>
      <c r="B28" s="32" t="s">
        <v>28</v>
      </c>
      <c r="C28" s="32" t="s">
        <v>31</v>
      </c>
      <c r="D28" s="32"/>
      <c r="E28" s="32"/>
      <c r="F28" s="33">
        <v>3225.6</v>
      </c>
      <c r="G28" s="32">
        <v>5.3</v>
      </c>
      <c r="H28" s="33">
        <f>218778.85+51287.04+1438.02</f>
        <v>271503.91000000003</v>
      </c>
      <c r="I28" s="33">
        <f>53091.21+283.77</f>
        <v>53374.979999999996</v>
      </c>
      <c r="J28" s="33">
        <f>1145941.13+4462.01-7.95</f>
        <v>1150395.19</v>
      </c>
      <c r="K28" s="33">
        <v>932266.26</v>
      </c>
      <c r="L28" s="43"/>
      <c r="M28" s="33"/>
      <c r="N28" s="33">
        <v>548708</v>
      </c>
      <c r="O28" s="33">
        <f t="shared" si="4"/>
        <v>383558.26</v>
      </c>
      <c r="P28" s="44">
        <v>354498.41</v>
      </c>
      <c r="Q28" s="46">
        <f t="shared" si="3"/>
        <v>81.038782855133462</v>
      </c>
      <c r="S28" s="93">
        <f t="shared" si="1"/>
        <v>218128.92999999993</v>
      </c>
      <c r="T28" s="93">
        <f t="shared" si="2"/>
        <v>218128.93000000005</v>
      </c>
      <c r="U28" s="93"/>
      <c r="V28" s="93">
        <f t="shared" si="5"/>
        <v>548708</v>
      </c>
    </row>
    <row r="29" spans="1:22" s="49" customFormat="1" ht="45" customHeight="1" thickBot="1">
      <c r="A29" s="32">
        <v>1</v>
      </c>
      <c r="B29" s="32" t="s">
        <v>28</v>
      </c>
      <c r="C29" s="32" t="s">
        <v>33</v>
      </c>
      <c r="D29" s="32"/>
      <c r="E29" s="32"/>
      <c r="F29" s="33">
        <v>2135.5</v>
      </c>
      <c r="G29" s="32">
        <v>5.3</v>
      </c>
      <c r="H29" s="33">
        <f>127691.73+33954.45+705.53</f>
        <v>162351.71</v>
      </c>
      <c r="I29" s="33">
        <f>32122.6+175.89</f>
        <v>32298.489999999998</v>
      </c>
      <c r="J29" s="33">
        <f>759026.27+2363.42</f>
        <v>761389.69000000006</v>
      </c>
      <c r="K29" s="33">
        <f>630968.19+367.93+0.35</f>
        <v>631336.47</v>
      </c>
      <c r="L29" s="43"/>
      <c r="M29" s="66"/>
      <c r="N29" s="33">
        <v>546055</v>
      </c>
      <c r="O29" s="33">
        <f t="shared" si="4"/>
        <v>85281.469999999972</v>
      </c>
      <c r="P29" s="44">
        <v>309141.18</v>
      </c>
      <c r="Q29" s="46">
        <f t="shared" si="3"/>
        <v>82.918967552607654</v>
      </c>
      <c r="S29" s="48">
        <f t="shared" si="1"/>
        <v>130053.22000000009</v>
      </c>
      <c r="T29" s="48">
        <f t="shared" si="2"/>
        <v>130053.22</v>
      </c>
      <c r="V29" s="93">
        <f t="shared" si="5"/>
        <v>546055</v>
      </c>
    </row>
    <row r="30" spans="1:22" ht="12.75" customHeight="1">
      <c r="A30" s="2"/>
    </row>
    <row r="31" spans="1:22" ht="15.75">
      <c r="A31" s="4" t="s">
        <v>76</v>
      </c>
      <c r="C31" s="17"/>
      <c r="D31" s="17"/>
      <c r="E31" s="17"/>
      <c r="F31" s="17"/>
      <c r="G31" s="17"/>
      <c r="H31" s="17"/>
      <c r="I31" s="26"/>
    </row>
    <row r="32" spans="1:22" ht="15" customHeight="1">
      <c r="A32" s="2"/>
      <c r="B32" s="76" t="s">
        <v>164</v>
      </c>
      <c r="C32" s="203" t="s">
        <v>231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 hidden="1">
      <c r="A33" s="2"/>
      <c r="B33" s="77"/>
      <c r="C33" s="203" t="s">
        <v>131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5.75" hidden="1">
      <c r="A34" s="2"/>
      <c r="B34" s="77" t="s">
        <v>165</v>
      </c>
      <c r="C34" s="203" t="s">
        <v>185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</row>
    <row r="35" spans="1:15" ht="15.75" hidden="1">
      <c r="A35" s="2"/>
      <c r="B35" s="77" t="s">
        <v>166</v>
      </c>
      <c r="C35" s="203" t="s">
        <v>169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</row>
    <row r="36" spans="1:15" ht="15.75" hidden="1">
      <c r="A36" s="2"/>
      <c r="B36" s="77" t="s">
        <v>166</v>
      </c>
      <c r="C36" s="203" t="s">
        <v>186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</row>
    <row r="37" spans="1:15" ht="15.75" hidden="1">
      <c r="A37" s="2"/>
      <c r="B37" s="77" t="s">
        <v>167</v>
      </c>
      <c r="C37" s="203" t="s">
        <v>187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15" ht="15.75" hidden="1">
      <c r="A38" s="2"/>
      <c r="B38" s="77" t="s">
        <v>165</v>
      </c>
      <c r="C38" s="203" t="s">
        <v>180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5.75" hidden="1">
      <c r="A39" s="2"/>
      <c r="B39" s="77" t="s">
        <v>166</v>
      </c>
      <c r="C39" s="203" t="s">
        <v>181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5.75" hidden="1">
      <c r="A40" s="2"/>
      <c r="B40" s="77" t="s">
        <v>167</v>
      </c>
      <c r="C40" s="203" t="s">
        <v>182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15.75" hidden="1">
      <c r="A41" s="2"/>
      <c r="B41" s="75" t="s">
        <v>168</v>
      </c>
      <c r="C41" s="203" t="s">
        <v>178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5.75" hidden="1">
      <c r="A42" s="2"/>
      <c r="B42" s="75" t="s">
        <v>171</v>
      </c>
      <c r="C42" s="203" t="s">
        <v>170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15.75" hidden="1">
      <c r="A43" s="2"/>
      <c r="B43" s="75" t="s">
        <v>176</v>
      </c>
      <c r="C43" s="203" t="s">
        <v>179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5.75" hidden="1">
      <c r="A44" s="2"/>
      <c r="B44" s="75" t="s">
        <v>177</v>
      </c>
      <c r="C44" s="203" t="s">
        <v>172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15.75">
      <c r="A45" s="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27" customFormat="1" ht="15.75">
      <c r="A46" s="4" t="str">
        <f>'УК 1 кв. 2020г.'!A37</f>
        <v>06 апреля 2020 г.</v>
      </c>
      <c r="I46" s="28"/>
    </row>
    <row r="47" spans="1:15" s="27" customFormat="1" ht="15.75">
      <c r="A47" s="4"/>
      <c r="I47" s="28"/>
    </row>
    <row r="48" spans="1:15" s="27" customFormat="1" ht="15.75">
      <c r="A48" s="4"/>
      <c r="I48" s="28"/>
    </row>
    <row r="49" spans="1:11" s="27" customFormat="1" ht="15.75">
      <c r="A49" s="4" t="s">
        <v>47</v>
      </c>
      <c r="I49" s="28"/>
    </row>
    <row r="50" spans="1:11" s="27" customFormat="1" ht="15.75" hidden="1">
      <c r="A50" s="30" t="s">
        <v>48</v>
      </c>
      <c r="I50" s="28"/>
    </row>
    <row r="51" spans="1:11">
      <c r="A51" s="1"/>
    </row>
    <row r="52" spans="1:11">
      <c r="A52" s="1"/>
      <c r="K52" s="3"/>
    </row>
    <row r="53" spans="1:11">
      <c r="A53" s="1"/>
    </row>
    <row r="54" spans="1:11">
      <c r="A54" s="1"/>
    </row>
    <row r="55" spans="1:11">
      <c r="A55" s="1"/>
    </row>
    <row r="56" spans="1:11">
      <c r="A56" s="1"/>
    </row>
    <row r="57" spans="1:11">
      <c r="A57" s="1"/>
    </row>
    <row r="58" spans="1:11">
      <c r="A58" s="1"/>
    </row>
    <row r="59" spans="1:11">
      <c r="A59" s="1"/>
    </row>
    <row r="60" spans="1:11">
      <c r="A60" s="1"/>
    </row>
    <row r="61" spans="1:11">
      <c r="A61" s="1"/>
    </row>
    <row r="62" spans="1:11">
      <c r="A62" s="1"/>
    </row>
    <row r="63" spans="1:11">
      <c r="A63" s="1"/>
    </row>
    <row r="64" spans="1:11">
      <c r="A64" s="1"/>
    </row>
    <row r="65" spans="1:1">
      <c r="A65" s="1"/>
    </row>
  </sheetData>
  <mergeCells count="37">
    <mergeCell ref="C40:O40"/>
    <mergeCell ref="C41:O41"/>
    <mergeCell ref="C42:O42"/>
    <mergeCell ref="C43:O43"/>
    <mergeCell ref="C44:O44"/>
    <mergeCell ref="C34:O34"/>
    <mergeCell ref="C35:O35"/>
    <mergeCell ref="C36:O36"/>
    <mergeCell ref="C37:O37"/>
    <mergeCell ref="C38:O38"/>
    <mergeCell ref="C39:O39"/>
    <mergeCell ref="C32:O32"/>
    <mergeCell ref="C33:O33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46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V35"/>
  <sheetViews>
    <sheetView topLeftCell="A10" zoomScaleNormal="100" workbookViewId="0">
      <selection activeCell="W28" sqref="W28"/>
    </sheetView>
  </sheetViews>
  <sheetFormatPr defaultColWidth="9.140625" defaultRowHeight="15"/>
  <cols>
    <col min="1" max="1" width="9.140625" style="13"/>
    <col min="2" max="2" width="12.42578125" style="13" customWidth="1"/>
    <col min="3" max="3" width="28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0.42578125" style="13" customWidth="1"/>
    <col min="15" max="15" width="13.42578125" style="13" customWidth="1"/>
    <col min="16" max="16" width="6.7109375" style="15" customWidth="1"/>
    <col min="17" max="17" width="0.28515625" style="13" customWidth="1"/>
    <col min="18" max="18" width="11.5703125" style="13" bestFit="1" customWidth="1"/>
    <col min="19" max="20" width="9.140625" style="13"/>
    <col min="21" max="21" width="10" style="13" bestFit="1" customWidth="1"/>
    <col min="22" max="16384" width="9.140625" style="13"/>
  </cols>
  <sheetData>
    <row r="1" spans="1:18" ht="11.2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8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62"/>
    </row>
    <row r="3" spans="1:18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18" ht="15.75">
      <c r="A4" s="158" t="s">
        <v>151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8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18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18" ht="15.75">
      <c r="A7" s="1" t="s">
        <v>7</v>
      </c>
      <c r="D7" s="18" t="s">
        <v>51</v>
      </c>
      <c r="E7" s="17"/>
      <c r="F7" s="17"/>
      <c r="G7" s="17"/>
      <c r="H7" s="17"/>
    </row>
    <row r="8" spans="1:18">
      <c r="A8" s="1" t="s">
        <v>8</v>
      </c>
    </row>
    <row r="9" spans="1:18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18" ht="15.75">
      <c r="A10" s="18" t="s">
        <v>61</v>
      </c>
    </row>
    <row r="11" spans="1:18" ht="15.75">
      <c r="A11" s="18" t="s">
        <v>62</v>
      </c>
    </row>
    <row r="12" spans="1:18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</row>
    <row r="13" spans="1:18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</row>
    <row r="14" spans="1:18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</row>
    <row r="15" spans="1:18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</row>
    <row r="16" spans="1:18" s="15" customFormat="1" ht="30">
      <c r="A16" s="32">
        <v>1</v>
      </c>
      <c r="B16" s="32" t="s">
        <v>28</v>
      </c>
      <c r="C16" s="32" t="s">
        <v>52</v>
      </c>
      <c r="D16" s="32">
        <v>2001</v>
      </c>
      <c r="E16" s="32"/>
      <c r="F16" s="32" t="s">
        <v>53</v>
      </c>
      <c r="G16" s="32">
        <v>5.3</v>
      </c>
      <c r="H16" s="33">
        <v>319875.07</v>
      </c>
      <c r="I16" s="33">
        <v>154527.62</v>
      </c>
      <c r="J16" s="33">
        <f>'УК 3 кв. 2019г '!O16:O17+'УК 4 кв. 2019г'!H16</f>
        <v>2278493.9599999995</v>
      </c>
      <c r="K16" s="33">
        <f>'УК 3 кв. 2019г '!O16:O17+'УК 4 кв. 2019г'!I16</f>
        <v>2113146.5099999998</v>
      </c>
      <c r="L16" s="64"/>
      <c r="M16" s="47"/>
      <c r="N16" s="33"/>
      <c r="O16" s="33">
        <f>K16-N16</f>
        <v>2113146.5099999998</v>
      </c>
      <c r="P16" s="63">
        <f>K16/J16*100</f>
        <v>92.743125375675788</v>
      </c>
      <c r="R16" s="19">
        <f>J16-K16</f>
        <v>165347.44999999972</v>
      </c>
    </row>
    <row r="17" spans="1:22" s="15" customFormat="1" ht="48.75" customHeight="1">
      <c r="A17" s="32">
        <v>1</v>
      </c>
      <c r="B17" s="32" t="s">
        <v>28</v>
      </c>
      <c r="C17" s="32" t="s">
        <v>57</v>
      </c>
      <c r="D17" s="32">
        <v>2011</v>
      </c>
      <c r="E17" s="32"/>
      <c r="F17" s="32" t="s">
        <v>58</v>
      </c>
      <c r="G17" s="32">
        <v>7.32</v>
      </c>
      <c r="H17" s="33">
        <f>101924.95+66855.09+1307.19</f>
        <v>170087.22999999998</v>
      </c>
      <c r="I17" s="33">
        <f>96213.38+2431.48</f>
        <v>98644.86</v>
      </c>
      <c r="J17" s="33">
        <f>'УК 3 кв. 2019г '!O18+'УК 4 кв. 2019г'!H17</f>
        <v>685058.45</v>
      </c>
      <c r="K17" s="33">
        <f>'УК 3 кв. 2019г '!O18+'УК 4 кв. 2019г'!I17</f>
        <v>613616.07999999996</v>
      </c>
      <c r="L17" s="32"/>
      <c r="M17" s="32"/>
      <c r="N17" s="32"/>
      <c r="O17" s="33">
        <f>K17-N17</f>
        <v>613616.07999999996</v>
      </c>
      <c r="P17" s="63">
        <f>K17/J17*100</f>
        <v>89.571346795299007</v>
      </c>
    </row>
    <row r="18" spans="1:22" s="15" customFormat="1" ht="51.75" customHeight="1">
      <c r="A18" s="32">
        <v>1</v>
      </c>
      <c r="B18" s="32" t="s">
        <v>28</v>
      </c>
      <c r="C18" s="32" t="s">
        <v>91</v>
      </c>
      <c r="D18" s="32">
        <v>2012</v>
      </c>
      <c r="E18" s="32"/>
      <c r="F18" s="33">
        <v>2517.1</v>
      </c>
      <c r="G18" s="32">
        <v>7.32</v>
      </c>
      <c r="H18" s="33">
        <f>427488.5+55275.54+7695.2</f>
        <v>490459.24</v>
      </c>
      <c r="I18" s="33">
        <v>55938.44</v>
      </c>
      <c r="J18" s="33">
        <f>'УК 3 кв. 2019г '!O19+'УК 4 кв. 2019г'!H18</f>
        <v>1125825.6199999999</v>
      </c>
      <c r="K18" s="33">
        <f>'УК 3 кв. 2019г '!O19+'УК 4 кв. 2019г'!I18</f>
        <v>691304.81999999983</v>
      </c>
      <c r="L18" s="34"/>
      <c r="M18" s="35"/>
      <c r="N18" s="36"/>
      <c r="O18" s="33">
        <f t="shared" ref="O18:O19" si="0">K18-N18</f>
        <v>691304.81999999983</v>
      </c>
      <c r="P18" s="63">
        <f>K18/J18*100</f>
        <v>61.404253706715252</v>
      </c>
      <c r="R18" s="19">
        <f>J18-K18</f>
        <v>434520.80000000005</v>
      </c>
    </row>
    <row r="19" spans="1:22" s="15" customFormat="1" ht="48.75" customHeight="1">
      <c r="A19" s="32">
        <v>1</v>
      </c>
      <c r="B19" s="32" t="s">
        <v>28</v>
      </c>
      <c r="C19" s="32" t="s">
        <v>92</v>
      </c>
      <c r="D19" s="32">
        <v>2012</v>
      </c>
      <c r="E19" s="32"/>
      <c r="F19" s="33">
        <v>2504.1999999999998</v>
      </c>
      <c r="G19" s="32">
        <v>7.32</v>
      </c>
      <c r="H19" s="33">
        <f>293035.7+59779.53+4858.52</f>
        <v>357673.75</v>
      </c>
      <c r="I19" s="33">
        <v>67657.52</v>
      </c>
      <c r="J19" s="33">
        <f>'УК 3 кв. 2019г '!O20+'УК 4 кв. 2019г'!H19</f>
        <v>1325737.06</v>
      </c>
      <c r="K19" s="33">
        <f>'УК 3 кв. 2019г '!O20+'УК 4 кв. 2019г'!I19</f>
        <v>1035720.8300000001</v>
      </c>
      <c r="L19" s="32"/>
      <c r="M19" s="32"/>
      <c r="N19" s="32"/>
      <c r="O19" s="33">
        <f t="shared" si="0"/>
        <v>1035720.8300000001</v>
      </c>
      <c r="P19" s="63">
        <f>K19/J19*100</f>
        <v>78.124151556870558</v>
      </c>
      <c r="R19" s="19">
        <f>J19-K19+S19</f>
        <v>311478.19999999995</v>
      </c>
      <c r="S19" s="15">
        <v>21461.97</v>
      </c>
      <c r="T19" s="15">
        <v>21606.04</v>
      </c>
      <c r="U19" s="19">
        <f>J19-K19</f>
        <v>290016.23</v>
      </c>
      <c r="V19" s="19">
        <f>R19-U19</f>
        <v>21461.969999999972</v>
      </c>
    </row>
    <row r="20" spans="1:22" ht="30">
      <c r="A20" s="32">
        <v>1</v>
      </c>
      <c r="B20" s="32" t="s">
        <v>28</v>
      </c>
      <c r="C20" s="32" t="s">
        <v>152</v>
      </c>
      <c r="D20" s="32">
        <v>2007</v>
      </c>
      <c r="E20" s="32"/>
      <c r="F20" s="33">
        <v>2915.6</v>
      </c>
      <c r="G20" s="32">
        <v>7.32</v>
      </c>
      <c r="H20" s="33">
        <v>1360163.02</v>
      </c>
      <c r="I20" s="33">
        <v>962538.98</v>
      </c>
      <c r="J20" s="33">
        <f>'УК 2 кв. 2019г '!O20+H20</f>
        <v>1360163.02</v>
      </c>
      <c r="K20" s="33">
        <f>'УК 2 кв. 2019г '!O20+'УК 4 кв. 2019г'!I20</f>
        <v>962538.98</v>
      </c>
      <c r="L20" s="32"/>
      <c r="M20" s="32"/>
      <c r="N20" s="32"/>
      <c r="O20" s="33">
        <f t="shared" ref="O20" si="1">K20-N20</f>
        <v>962538.98</v>
      </c>
      <c r="P20" s="63">
        <f>K20/J20*100</f>
        <v>70.76644239305962</v>
      </c>
    </row>
    <row r="21" spans="1:22">
      <c r="A21" s="67"/>
      <c r="B21" s="67"/>
      <c r="C21" s="67"/>
      <c r="D21" s="67"/>
      <c r="E21" s="67"/>
      <c r="F21" s="68"/>
      <c r="G21" s="67"/>
      <c r="H21" s="68"/>
      <c r="I21" s="68"/>
      <c r="J21" s="68"/>
      <c r="K21" s="68"/>
      <c r="L21" s="67"/>
      <c r="M21" s="67"/>
      <c r="N21" s="67"/>
      <c r="O21" s="68"/>
      <c r="P21" s="63"/>
    </row>
    <row r="22" spans="1:22">
      <c r="A22" s="67"/>
      <c r="B22" s="67"/>
      <c r="C22" s="67"/>
      <c r="D22" s="67"/>
      <c r="E22" s="67"/>
      <c r="F22" s="68"/>
      <c r="G22" s="67"/>
      <c r="H22" s="68"/>
      <c r="I22" s="68"/>
      <c r="J22" s="68"/>
      <c r="K22" s="68"/>
      <c r="L22" s="67"/>
      <c r="M22" s="67"/>
      <c r="N22" s="67"/>
      <c r="O22" s="68"/>
      <c r="P22" s="63"/>
    </row>
    <row r="23" spans="1:22" s="17" customFormat="1" ht="15.75">
      <c r="A23" s="4" t="s">
        <v>64</v>
      </c>
      <c r="C23" s="13"/>
      <c r="D23" s="13"/>
      <c r="E23" s="13"/>
      <c r="F23" s="13"/>
      <c r="G23" s="13"/>
      <c r="H23" s="13"/>
      <c r="I23" s="13"/>
      <c r="J23" s="13"/>
      <c r="K23" s="13"/>
      <c r="P23" s="62"/>
    </row>
    <row r="24" spans="1:22" s="17" customFormat="1" ht="15.75" hidden="1">
      <c r="A24" s="4"/>
      <c r="C24" s="69" t="s">
        <v>153</v>
      </c>
      <c r="D24" s="69"/>
      <c r="E24" s="69"/>
      <c r="F24" s="69"/>
      <c r="G24" s="69"/>
      <c r="H24" s="69"/>
      <c r="I24" s="69"/>
      <c r="J24" s="69"/>
      <c r="K24" s="69"/>
      <c r="P24" s="62"/>
    </row>
    <row r="25" spans="1:22" s="17" customFormat="1" ht="15.75" hidden="1">
      <c r="A25" s="4"/>
      <c r="C25" s="69" t="s">
        <v>155</v>
      </c>
      <c r="D25" s="69"/>
      <c r="E25" s="69"/>
      <c r="F25" s="69"/>
      <c r="G25" s="69"/>
      <c r="H25" s="69"/>
      <c r="I25" s="69"/>
      <c r="J25" s="69"/>
      <c r="K25" s="69"/>
      <c r="P25" s="62"/>
    </row>
    <row r="26" spans="1:22" s="70" customFormat="1" ht="15.75" hidden="1">
      <c r="C26" s="69" t="s">
        <v>156</v>
      </c>
      <c r="D26" s="69"/>
      <c r="E26" s="69"/>
      <c r="F26" s="69"/>
      <c r="G26" s="69"/>
      <c r="H26" s="69"/>
      <c r="I26" s="69"/>
      <c r="J26" s="69"/>
      <c r="K26" s="69"/>
      <c r="P26" s="71"/>
    </row>
    <row r="27" spans="1:22" s="17" customFormat="1" ht="15.75" hidden="1">
      <c r="A27" s="4"/>
      <c r="C27" s="13" t="s">
        <v>157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22" s="17" customFormat="1" ht="15.75">
      <c r="A28" s="4"/>
      <c r="C28" s="13" t="s">
        <v>158</v>
      </c>
      <c r="D28" s="13"/>
      <c r="E28" s="13"/>
      <c r="F28" s="13"/>
      <c r="G28" s="13"/>
      <c r="H28" s="13"/>
      <c r="I28" s="13"/>
      <c r="J28" s="13"/>
      <c r="K28" s="13"/>
      <c r="P28" s="62"/>
    </row>
    <row r="29" spans="1:22" s="17" customFormat="1" ht="15.75">
      <c r="A29" s="4"/>
      <c r="C29" s="13"/>
      <c r="D29" s="13"/>
      <c r="E29" s="13"/>
      <c r="F29" s="13"/>
      <c r="G29" s="13"/>
      <c r="H29" s="13"/>
      <c r="I29" s="13"/>
      <c r="J29" s="13"/>
      <c r="K29" s="13"/>
      <c r="P29" s="62"/>
    </row>
    <row r="30" spans="1:22" s="17" customFormat="1" ht="15.75">
      <c r="A30" s="4"/>
      <c r="C30" s="13"/>
      <c r="D30" s="13"/>
      <c r="E30" s="13"/>
      <c r="F30" s="13"/>
      <c r="G30" s="13"/>
      <c r="H30" s="13"/>
      <c r="I30" s="13"/>
      <c r="J30" s="13"/>
      <c r="K30" s="13"/>
      <c r="P30" s="62"/>
    </row>
    <row r="31" spans="1:22" s="17" customFormat="1" ht="15.75">
      <c r="A31" s="4"/>
      <c r="C31" s="13"/>
      <c r="D31" s="13"/>
      <c r="E31" s="13"/>
      <c r="F31" s="13"/>
      <c r="G31" s="13"/>
      <c r="H31" s="13"/>
      <c r="I31" s="13"/>
      <c r="J31" s="13"/>
      <c r="K31" s="13"/>
      <c r="P31" s="62"/>
    </row>
    <row r="32" spans="1:22" s="17" customFormat="1" ht="15.75">
      <c r="A32" s="4" t="s">
        <v>154</v>
      </c>
      <c r="P32" s="62"/>
    </row>
    <row r="33" spans="1:16" s="17" customFormat="1" ht="15.75">
      <c r="A33" s="4" t="s">
        <v>59</v>
      </c>
      <c r="P33" s="62"/>
    </row>
    <row r="34" spans="1:16" s="17" customFormat="1" ht="15.75">
      <c r="A34" s="4"/>
      <c r="P34" s="62"/>
    </row>
    <row r="35" spans="1:16">
      <c r="A35" s="2" t="s">
        <v>48</v>
      </c>
    </row>
  </sheetData>
  <mergeCells count="24">
    <mergeCell ref="K13:K14"/>
    <mergeCell ref="L13:L14"/>
    <mergeCell ref="M13:M14"/>
    <mergeCell ref="N13:N14"/>
    <mergeCell ref="G12:G14"/>
    <mergeCell ref="H12:I12"/>
    <mergeCell ref="J12:K12"/>
    <mergeCell ref="L12:N12"/>
    <mergeCell ref="F12:F14"/>
    <mergeCell ref="A1:O1"/>
    <mergeCell ref="A2:O2"/>
    <mergeCell ref="A3:O3"/>
    <mergeCell ref="A4:O4"/>
    <mergeCell ref="D6:M6"/>
    <mergeCell ref="D9:L9"/>
    <mergeCell ref="A12:A14"/>
    <mergeCell ref="B12:B14"/>
    <mergeCell ref="C12:C14"/>
    <mergeCell ref="D12:D14"/>
    <mergeCell ref="E12:E14"/>
    <mergeCell ref="O12:O14"/>
    <mergeCell ref="H13:H14"/>
    <mergeCell ref="I13:I14"/>
    <mergeCell ref="J13:J14"/>
  </mergeCells>
  <pageMargins left="0.78740157480314965" right="0.39370078740157483" top="0.98425196850393704" bottom="0.35433070866141736" header="0.31496062992125984" footer="0.31496062992125984"/>
  <pageSetup paperSize="9" scale="6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7"/>
  <sheetViews>
    <sheetView workbookViewId="0">
      <selection activeCell="W28" sqref="W28"/>
    </sheetView>
  </sheetViews>
  <sheetFormatPr defaultRowHeight="15"/>
  <cols>
    <col min="1" max="1" width="6.140625" customWidth="1"/>
    <col min="2" max="2" width="11.7109375" customWidth="1"/>
    <col min="3" max="3" width="17.8554687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3.140625" customWidth="1"/>
    <col min="15" max="15" width="11.85546875" customWidth="1"/>
    <col min="16" max="16" width="11.28515625" hidden="1" customWidth="1"/>
    <col min="17" max="17" width="8.140625" customWidth="1"/>
    <col min="18" max="18" width="11.7109375" customWidth="1"/>
    <col min="20" max="20" width="10" bestFit="1" customWidth="1"/>
    <col min="21" max="21" width="12.140625" style="3" customWidth="1"/>
    <col min="22" max="22" width="11.42578125" style="3" bestFit="1" customWidth="1"/>
    <col min="23" max="24" width="10" style="3" customWidth="1"/>
    <col min="25" max="25" width="11.42578125" style="3" bestFit="1" customWidth="1"/>
    <col min="27" max="27" width="9.140625" style="3"/>
    <col min="28" max="28" width="11.140625" style="3" customWidth="1"/>
  </cols>
  <sheetData>
    <row r="1" spans="1:29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U1" s="26"/>
      <c r="V1" s="26"/>
      <c r="W1" s="26"/>
      <c r="X1" s="26"/>
      <c r="Y1" s="26"/>
      <c r="AA1" s="26"/>
      <c r="AB1" s="26"/>
    </row>
    <row r="2" spans="1:29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U2" s="26"/>
      <c r="V2" s="26"/>
      <c r="W2" s="26"/>
      <c r="X2" s="26"/>
      <c r="Y2" s="26"/>
      <c r="AA2" s="26"/>
      <c r="AB2" s="26"/>
    </row>
    <row r="3" spans="1:29" s="13" customFormat="1" ht="15.75">
      <c r="A3" s="158" t="str">
        <f>'УК 4 кв. 2019г'!A4:O4</f>
        <v xml:space="preserve">по состоянию за 4 квартал 2019 года на 01 января 2020 года 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U3" s="37"/>
      <c r="V3" s="37"/>
      <c r="W3" s="37"/>
      <c r="X3" s="37"/>
      <c r="Y3" s="37"/>
      <c r="AA3" s="37"/>
      <c r="AB3" s="37"/>
    </row>
    <row r="4" spans="1:29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  <c r="U4" s="37"/>
      <c r="V4" s="37"/>
      <c r="W4" s="37"/>
      <c r="X4" s="37"/>
      <c r="Y4" s="37"/>
      <c r="AA4" s="37"/>
      <c r="AB4" s="37"/>
    </row>
    <row r="5" spans="1:29" s="13" customFormat="1" ht="9.7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  <c r="U5" s="37"/>
      <c r="V5" s="37"/>
      <c r="W5" s="37"/>
      <c r="X5" s="37"/>
      <c r="Y5" s="37"/>
      <c r="AA5" s="37"/>
      <c r="AB5" s="37"/>
    </row>
    <row r="6" spans="1:29" s="13" customFormat="1" ht="15.75">
      <c r="A6" s="1" t="s">
        <v>7</v>
      </c>
      <c r="D6" s="18" t="s">
        <v>68</v>
      </c>
      <c r="E6" s="17"/>
      <c r="F6" s="17"/>
      <c r="G6" s="17"/>
      <c r="H6" s="17"/>
      <c r="U6" s="37"/>
      <c r="V6" s="37"/>
      <c r="W6" s="37"/>
      <c r="X6" s="37"/>
      <c r="Y6" s="37"/>
      <c r="AA6" s="37"/>
      <c r="AB6" s="37"/>
    </row>
    <row r="7" spans="1:29" s="13" customFormat="1">
      <c r="A7" s="1" t="s">
        <v>8</v>
      </c>
      <c r="U7" s="37"/>
      <c r="V7" s="37"/>
      <c r="W7" s="37"/>
      <c r="X7" s="37"/>
      <c r="Y7" s="37"/>
      <c r="AA7" s="37"/>
      <c r="AB7" s="37"/>
    </row>
    <row r="8" spans="1:29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  <c r="U8" s="37"/>
      <c r="V8" s="37"/>
      <c r="W8" s="37"/>
      <c r="X8" s="37"/>
      <c r="Y8" s="37"/>
      <c r="AA8" s="37"/>
      <c r="AB8" s="37"/>
    </row>
    <row r="9" spans="1:29" s="13" customFormat="1" ht="15.75">
      <c r="A9" s="18" t="s">
        <v>69</v>
      </c>
      <c r="U9" s="37"/>
      <c r="V9" s="37"/>
      <c r="W9" s="37"/>
      <c r="X9" s="37"/>
      <c r="Y9" s="37"/>
      <c r="AA9" s="37"/>
      <c r="AB9" s="37"/>
    </row>
    <row r="10" spans="1:29" s="13" customFormat="1" ht="15.75">
      <c r="A10" s="18" t="s">
        <v>70</v>
      </c>
      <c r="U10" s="37"/>
      <c r="V10" s="37"/>
      <c r="W10" s="37"/>
      <c r="X10" s="37"/>
      <c r="Y10" s="37"/>
      <c r="AA10" s="37"/>
      <c r="AB10" s="37"/>
    </row>
    <row r="11" spans="1:29" s="38" customFormat="1" ht="42" customHeight="1">
      <c r="A11" s="160" t="s">
        <v>10</v>
      </c>
      <c r="B11" s="205" t="s">
        <v>11</v>
      </c>
      <c r="C11" s="160" t="s">
        <v>12</v>
      </c>
      <c r="D11" s="160" t="s">
        <v>13</v>
      </c>
      <c r="E11" s="160" t="s">
        <v>14</v>
      </c>
      <c r="F11" s="160" t="s">
        <v>15</v>
      </c>
      <c r="G11" s="160" t="s">
        <v>16</v>
      </c>
      <c r="H11" s="204" t="s">
        <v>17</v>
      </c>
      <c r="I11" s="204"/>
      <c r="J11" s="204" t="s">
        <v>18</v>
      </c>
      <c r="K11" s="204"/>
      <c r="L11" s="204" t="s">
        <v>19</v>
      </c>
      <c r="M11" s="204"/>
      <c r="N11" s="204"/>
      <c r="O11" s="204" t="s">
        <v>20</v>
      </c>
      <c r="P11" s="14"/>
      <c r="Q11" s="208" t="s">
        <v>102</v>
      </c>
      <c r="U11" s="39"/>
      <c r="V11" s="39"/>
      <c r="W11" s="39"/>
      <c r="X11" s="39"/>
      <c r="Y11" s="39"/>
      <c r="AA11" s="39"/>
      <c r="AB11" s="39"/>
    </row>
    <row r="12" spans="1:29" s="38" customFormat="1" ht="12.75">
      <c r="A12" s="161"/>
      <c r="B12" s="206"/>
      <c r="C12" s="161"/>
      <c r="D12" s="161"/>
      <c r="E12" s="161"/>
      <c r="F12" s="161"/>
      <c r="G12" s="161"/>
      <c r="H12" s="204" t="s">
        <v>21</v>
      </c>
      <c r="I12" s="204" t="s">
        <v>22</v>
      </c>
      <c r="J12" s="204" t="s">
        <v>23</v>
      </c>
      <c r="K12" s="204" t="s">
        <v>24</v>
      </c>
      <c r="L12" s="204" t="s">
        <v>25</v>
      </c>
      <c r="M12" s="204" t="s">
        <v>26</v>
      </c>
      <c r="N12" s="204" t="s">
        <v>27</v>
      </c>
      <c r="O12" s="204"/>
      <c r="P12" s="14"/>
      <c r="Q12" s="209"/>
      <c r="U12" s="39"/>
      <c r="V12" s="39"/>
      <c r="W12" s="39"/>
      <c r="X12" s="39"/>
      <c r="Y12" s="39"/>
      <c r="AA12" s="39"/>
      <c r="AB12" s="39"/>
    </row>
    <row r="13" spans="1:29" s="38" customFormat="1" ht="93" customHeight="1">
      <c r="A13" s="162"/>
      <c r="B13" s="207"/>
      <c r="C13" s="162"/>
      <c r="D13" s="162"/>
      <c r="E13" s="162"/>
      <c r="F13" s="162"/>
      <c r="G13" s="162"/>
      <c r="H13" s="204"/>
      <c r="I13" s="204"/>
      <c r="J13" s="204"/>
      <c r="K13" s="204"/>
      <c r="L13" s="204"/>
      <c r="M13" s="204"/>
      <c r="N13" s="204"/>
      <c r="O13" s="204"/>
      <c r="P13" s="14"/>
      <c r="Q13" s="210"/>
      <c r="U13" s="39"/>
      <c r="V13" s="39"/>
      <c r="W13" s="39"/>
      <c r="X13" s="39"/>
      <c r="Y13" s="39"/>
      <c r="AA13" s="39"/>
      <c r="AB13" s="39"/>
    </row>
    <row r="14" spans="1:29" s="14" customFormat="1" ht="11.25">
      <c r="A14" s="51">
        <v>1</v>
      </c>
      <c r="B14" s="52">
        <v>1</v>
      </c>
      <c r="C14" s="51">
        <v>2</v>
      </c>
      <c r="D14" s="51">
        <v>3</v>
      </c>
      <c r="E14" s="51">
        <v>4</v>
      </c>
      <c r="F14" s="51">
        <v>5</v>
      </c>
      <c r="G14" s="51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3">
        <v>14</v>
      </c>
      <c r="Q14" s="54"/>
      <c r="R14" s="14" t="s">
        <v>112</v>
      </c>
      <c r="U14" s="55"/>
      <c r="V14" s="55"/>
      <c r="W14" s="55"/>
      <c r="X14" s="55"/>
      <c r="Y14" s="55" t="s">
        <v>111</v>
      </c>
      <c r="AA14" s="55"/>
      <c r="AB14" s="55"/>
    </row>
    <row r="15" spans="1:29" s="49" customFormat="1" ht="72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33">
        <f>310079.82+75529.77+1685.04</f>
        <v>387294.63</v>
      </c>
      <c r="I15" s="33">
        <f>78375.59+411.76</f>
        <v>78787.349999999991</v>
      </c>
      <c r="J15" s="33">
        <f>'ТСЖ 3 кв.2019г '!O15+H15</f>
        <v>1403710.4100000001</v>
      </c>
      <c r="K15" s="33">
        <f>'ТСЖ 3 кв.2019г '!O15+'ТСЖ 4  кв.2019г'!I15</f>
        <v>1095203.1300000001</v>
      </c>
      <c r="L15" s="43"/>
      <c r="M15" s="66" t="s">
        <v>159</v>
      </c>
      <c r="N15" s="33">
        <v>235450.05</v>
      </c>
      <c r="O15" s="33">
        <f>K15-N15</f>
        <v>859753.08000000007</v>
      </c>
      <c r="P15" s="74">
        <v>520817.08</v>
      </c>
      <c r="Q15" s="46">
        <f>K15/J15*100</f>
        <v>78.022013814088623</v>
      </c>
      <c r="R15" s="56">
        <f>J15-K15+AC15</f>
        <v>333683.87000000005</v>
      </c>
      <c r="U15" s="48"/>
      <c r="V15" s="48">
        <f>'ТСЖ 1 кв.2019г'!J15-'ТСЖ 1 кв.2019г'!N15+1036.27</f>
        <v>1387674.98</v>
      </c>
      <c r="W15" s="48">
        <f>75529.77</f>
        <v>75529.77</v>
      </c>
      <c r="X15" s="48">
        <v>960.55</v>
      </c>
      <c r="Y15" s="48">
        <v>336658.59</v>
      </c>
      <c r="AA15" s="50">
        <f>F15*G15*3</f>
        <v>75529.77</v>
      </c>
      <c r="AB15" s="50">
        <f>AA15-W15</f>
        <v>0</v>
      </c>
      <c r="AC15" s="48">
        <f>W15/3</f>
        <v>25176.59</v>
      </c>
    </row>
    <row r="16" spans="1:29" s="49" customFormat="1" ht="72.75" thickBot="1">
      <c r="A16" s="180">
        <v>1</v>
      </c>
      <c r="B16" s="180" t="s">
        <v>28</v>
      </c>
      <c r="C16" s="180" t="s">
        <v>30</v>
      </c>
      <c r="D16" s="180"/>
      <c r="E16" s="180"/>
      <c r="F16" s="213">
        <v>1908.8</v>
      </c>
      <c r="G16" s="180">
        <v>5.3</v>
      </c>
      <c r="H16" s="213">
        <f>31218.54+30349.92+321.53</f>
        <v>61889.99</v>
      </c>
      <c r="I16" s="213">
        <v>38801.919999999998</v>
      </c>
      <c r="J16" s="211">
        <f>'ТСЖ 3 кв.2019г '!O17+'ТСЖ 4  кв.2019г'!H16:H17</f>
        <v>583913.36</v>
      </c>
      <c r="K16" s="211">
        <f>'ТСЖ 3 кв.2019г '!O17+'ТСЖ 4  кв.2019г'!I16:I17</f>
        <v>560825.29</v>
      </c>
      <c r="L16" s="72">
        <v>43738</v>
      </c>
      <c r="M16" s="73" t="s">
        <v>161</v>
      </c>
      <c r="N16" s="61">
        <v>57252.17</v>
      </c>
      <c r="O16" s="213">
        <f>K16-N16-N17</f>
        <v>393673.12000000005</v>
      </c>
      <c r="P16" s="44">
        <v>264064.82</v>
      </c>
      <c r="Q16" s="214">
        <f>K16/J16*100</f>
        <v>96.045976752441504</v>
      </c>
      <c r="R16" s="56">
        <f t="shared" ref="R16:R25" si="0">J16-K16+AC16</f>
        <v>33204.709999999948</v>
      </c>
      <c r="U16" s="48"/>
      <c r="V16" s="48">
        <f>'ТСЖ 1 кв.2019г'!J16-'ТСЖ 1 кв.2019г'!N16-4.54</f>
        <v>556682.47</v>
      </c>
      <c r="W16" s="48">
        <f>30349.92</f>
        <v>30349.919999999998</v>
      </c>
      <c r="X16" s="48">
        <v>253.81</v>
      </c>
      <c r="Y16" s="48">
        <v>80571.75</v>
      </c>
      <c r="AA16" s="50">
        <f t="shared" ref="AA16:AA25" si="1">F16*G16*3</f>
        <v>30349.919999999998</v>
      </c>
      <c r="AB16" s="50">
        <f t="shared" ref="AB16:AB25" si="2">AA16-W16</f>
        <v>0</v>
      </c>
      <c r="AC16" s="48">
        <f t="shared" ref="AC16:AC25" si="3">W16/3</f>
        <v>10116.64</v>
      </c>
    </row>
    <row r="17" spans="1:29" s="49" customFormat="1" ht="72.75" thickBot="1">
      <c r="A17" s="173"/>
      <c r="B17" s="173"/>
      <c r="C17" s="173"/>
      <c r="D17" s="173"/>
      <c r="E17" s="173"/>
      <c r="F17" s="212"/>
      <c r="G17" s="173"/>
      <c r="H17" s="212"/>
      <c r="I17" s="212"/>
      <c r="J17" s="212"/>
      <c r="K17" s="212"/>
      <c r="L17" s="43">
        <v>43824</v>
      </c>
      <c r="M17" s="66" t="s">
        <v>162</v>
      </c>
      <c r="N17" s="33">
        <v>109900</v>
      </c>
      <c r="O17" s="212"/>
      <c r="P17" s="44"/>
      <c r="Q17" s="215"/>
      <c r="R17" s="56"/>
      <c r="U17" s="48"/>
      <c r="V17" s="48"/>
      <c r="W17" s="48"/>
      <c r="X17" s="48"/>
      <c r="Y17" s="48"/>
      <c r="AA17" s="50"/>
      <c r="AB17" s="50"/>
      <c r="AC17" s="48"/>
    </row>
    <row r="18" spans="1:29" s="49" customFormat="1" ht="48">
      <c r="A18" s="32">
        <v>1</v>
      </c>
      <c r="B18" s="32" t="s">
        <v>28</v>
      </c>
      <c r="C18" s="32" t="s">
        <v>72</v>
      </c>
      <c r="D18" s="32"/>
      <c r="E18" s="32"/>
      <c r="F18" s="33">
        <v>1947.3</v>
      </c>
      <c r="G18" s="32">
        <v>5.3</v>
      </c>
      <c r="H18" s="33">
        <f>125999.24+30962.07+677.65-42000</f>
        <v>115638.95999999999</v>
      </c>
      <c r="I18" s="33">
        <v>41654.33</v>
      </c>
      <c r="J18" s="33">
        <f>'ТСЖ 3 кв.2019г '!O19+'ТСЖ 4  кв.2019г'!H18</f>
        <v>152163.85999999999</v>
      </c>
      <c r="K18" s="33">
        <f>'ТСЖ 3 кв.2019г '!O19+'ТСЖ 4  кв.2019г'!I18</f>
        <v>78179.23</v>
      </c>
      <c r="L18" s="43">
        <v>43770</v>
      </c>
      <c r="M18" s="66" t="s">
        <v>163</v>
      </c>
      <c r="N18" s="33">
        <v>15400</v>
      </c>
      <c r="O18" s="33">
        <f>K18-N18</f>
        <v>62779.229999999996</v>
      </c>
      <c r="P18" s="74">
        <v>253163.82</v>
      </c>
      <c r="Q18" s="46">
        <f>K18/J18*100</f>
        <v>51.378316769829581</v>
      </c>
      <c r="R18" s="56">
        <f>J18-K18+AC18</f>
        <v>84305.319999999992</v>
      </c>
      <c r="U18" s="48"/>
      <c r="V18" s="48">
        <f>'ТСЖ 1 кв.2019г'!J26-'ТСЖ 1 кв.2019г'!N26-4.72</f>
        <v>319111.56</v>
      </c>
      <c r="W18" s="48">
        <f>30962.07</f>
        <v>30962.07</v>
      </c>
      <c r="X18" s="48">
        <v>433.94</v>
      </c>
      <c r="Y18" s="48">
        <v>156069.04</v>
      </c>
      <c r="AA18" s="50">
        <f>F18*G18*3</f>
        <v>30962.069999999996</v>
      </c>
      <c r="AB18" s="50">
        <f>AA18-W18</f>
        <v>0</v>
      </c>
      <c r="AC18" s="48">
        <f>W18/3</f>
        <v>10320.69</v>
      </c>
    </row>
    <row r="19" spans="1:29" s="49" customFormat="1" ht="63.75" customHeight="1" thickBot="1">
      <c r="A19" s="60">
        <v>1</v>
      </c>
      <c r="B19" s="60" t="s">
        <v>28</v>
      </c>
      <c r="C19" s="60" t="s">
        <v>71</v>
      </c>
      <c r="D19" s="60"/>
      <c r="E19" s="60"/>
      <c r="F19" s="61">
        <v>2983.5</v>
      </c>
      <c r="G19" s="60">
        <v>5.3</v>
      </c>
      <c r="H19" s="61">
        <f>203310.94+47437.65+1335.59</f>
        <v>252084.18</v>
      </c>
      <c r="I19" s="61">
        <v>43535.29</v>
      </c>
      <c r="J19" s="61">
        <f>'ТСЖ 3 кв.2019г '!O21+'ТСЖ 4  кв.2019г'!H19</f>
        <v>488073.93</v>
      </c>
      <c r="K19" s="61">
        <f>'ТСЖ 3 кв.2019г '!O21+'ТСЖ 4  кв.2019г'!I19</f>
        <v>279525.03999999998</v>
      </c>
      <c r="L19" s="72">
        <v>43799</v>
      </c>
      <c r="M19" s="73" t="s">
        <v>173</v>
      </c>
      <c r="N19" s="61">
        <v>219800</v>
      </c>
      <c r="O19" s="61">
        <f t="shared" ref="O19:O23" si="4">K19-N19</f>
        <v>59725.039999999979</v>
      </c>
      <c r="P19" s="44">
        <v>378042.71</v>
      </c>
      <c r="Q19" s="65">
        <f t="shared" ref="Q19:Q25" si="5">K19/J19*100</f>
        <v>57.271044982877896</v>
      </c>
      <c r="R19" s="56">
        <f t="shared" si="0"/>
        <v>224361.44</v>
      </c>
      <c r="U19" s="48"/>
      <c r="V19" s="48">
        <f>'ТСЖ 1 кв.2019г'!J17-'ТСЖ 1 кв.2019г'!N17-0.09</f>
        <v>418545.47999999992</v>
      </c>
      <c r="W19" s="48">
        <f>47437.65</f>
        <v>47437.65</v>
      </c>
      <c r="X19" s="48">
        <v>631.51</v>
      </c>
      <c r="Y19" s="48">
        <v>212272.38</v>
      </c>
      <c r="AA19" s="50">
        <f>F19*G19*3</f>
        <v>47437.649999999994</v>
      </c>
      <c r="AB19" s="50">
        <f>AA19-W19</f>
        <v>0</v>
      </c>
      <c r="AC19" s="48">
        <f t="shared" si="3"/>
        <v>15812.550000000001</v>
      </c>
    </row>
    <row r="20" spans="1:29" s="49" customFormat="1" ht="30.75" thickBot="1">
      <c r="A20" s="32">
        <v>1</v>
      </c>
      <c r="B20" s="32" t="s">
        <v>28</v>
      </c>
      <c r="C20" s="32" t="s">
        <v>73</v>
      </c>
      <c r="D20" s="32"/>
      <c r="E20" s="32"/>
      <c r="F20" s="33">
        <v>1699.9</v>
      </c>
      <c r="G20" s="32">
        <v>5.3</v>
      </c>
      <c r="H20" s="33">
        <f>104294.5+27025.23+530.12</f>
        <v>131849.85</v>
      </c>
      <c r="I20" s="33">
        <v>46124.44</v>
      </c>
      <c r="J20" s="33">
        <f>'ТСЖ 3 кв.2019г '!O22+'ТСЖ 4  кв.2019г'!H20</f>
        <v>339411.5</v>
      </c>
      <c r="K20" s="33">
        <f>'ТСЖ 3 кв.2019г '!O22+'ТСЖ 4  кв.2019г'!I20</f>
        <v>253686.09000000003</v>
      </c>
      <c r="L20" s="43"/>
      <c r="M20" s="66"/>
      <c r="N20" s="33"/>
      <c r="O20" s="33">
        <f>K20-N20</f>
        <v>253686.09000000003</v>
      </c>
      <c r="P20" s="44">
        <v>252978.03</v>
      </c>
      <c r="Q20" s="46">
        <f>K20/J20*100</f>
        <v>74.742927095870357</v>
      </c>
      <c r="R20" s="56">
        <f>J20-K20+AC20</f>
        <v>94734.879999999976</v>
      </c>
      <c r="U20" s="48"/>
      <c r="V20" s="48">
        <f>'ТСЖ 1 кв.2019г'!J27-'ТСЖ 1 кв.2019г'!N27</f>
        <v>285901.51</v>
      </c>
      <c r="W20" s="48">
        <f>27028.41</f>
        <v>27028.41</v>
      </c>
      <c r="X20" s="48">
        <v>259.44</v>
      </c>
      <c r="Y20" s="48">
        <v>107140.17</v>
      </c>
      <c r="AA20" s="50">
        <f>F20*G20*3</f>
        <v>27028.409999999996</v>
      </c>
      <c r="AB20" s="50">
        <f>AA20-W20</f>
        <v>0</v>
      </c>
      <c r="AC20" s="48">
        <f>W20/3</f>
        <v>9009.4699999999993</v>
      </c>
    </row>
    <row r="21" spans="1:29" s="49" customFormat="1" ht="72.75" customHeight="1" thickBot="1">
      <c r="A21" s="172">
        <v>1</v>
      </c>
      <c r="B21" s="172" t="s">
        <v>28</v>
      </c>
      <c r="C21" s="172" t="s">
        <v>35</v>
      </c>
      <c r="D21" s="172"/>
      <c r="E21" s="172"/>
      <c r="F21" s="211">
        <v>1189</v>
      </c>
      <c r="G21" s="172">
        <v>5.3</v>
      </c>
      <c r="H21" s="211">
        <f>92890.92+18905.1+334.4</f>
        <v>112130.41999999998</v>
      </c>
      <c r="I21" s="211">
        <v>25436.240000000002</v>
      </c>
      <c r="J21" s="211">
        <f>'ТСЖ 3 кв.2019г '!O23+'УК 3 кв. 2019г '!H16</f>
        <v>493857.45</v>
      </c>
      <c r="K21" s="211">
        <f>'ТСЖ 3 кв.2019г '!O23+'ТСЖ 4  кв.2019г'!I21</f>
        <v>261226.68</v>
      </c>
      <c r="L21" s="43">
        <v>43738</v>
      </c>
      <c r="M21" s="66" t="s">
        <v>175</v>
      </c>
      <c r="N21" s="33">
        <v>47672.79</v>
      </c>
      <c r="O21" s="211">
        <f>K21-N21-N22</f>
        <v>103653.88999999998</v>
      </c>
      <c r="P21" s="44">
        <v>124839.69</v>
      </c>
      <c r="Q21" s="216">
        <f t="shared" si="5"/>
        <v>52.895158309346144</v>
      </c>
      <c r="R21" s="56">
        <f t="shared" si="0"/>
        <v>238932.47000000003</v>
      </c>
      <c r="U21" s="48"/>
      <c r="V21" s="48">
        <f>'ТСЖ 1 кв.2019г'!J21-'ТСЖ 1 кв.2019г'!N21+10</f>
        <v>347191.09</v>
      </c>
      <c r="W21" s="48">
        <f>18905.1</f>
        <v>18905.099999999999</v>
      </c>
      <c r="X21" s="48">
        <v>213.55</v>
      </c>
      <c r="Y21" s="48">
        <v>112356.79</v>
      </c>
      <c r="AA21" s="50">
        <f t="shared" si="1"/>
        <v>18905.099999999999</v>
      </c>
      <c r="AB21" s="50">
        <f t="shared" si="2"/>
        <v>0</v>
      </c>
      <c r="AC21" s="48">
        <f t="shared" si="3"/>
        <v>6301.7</v>
      </c>
    </row>
    <row r="22" spans="1:29" s="49" customFormat="1" ht="84.75" thickBot="1">
      <c r="A22" s="173"/>
      <c r="B22" s="173"/>
      <c r="C22" s="173"/>
      <c r="D22" s="173"/>
      <c r="E22" s="173"/>
      <c r="F22" s="212"/>
      <c r="G22" s="173"/>
      <c r="H22" s="212"/>
      <c r="I22" s="212"/>
      <c r="J22" s="212"/>
      <c r="K22" s="212"/>
      <c r="L22" s="43">
        <v>43824</v>
      </c>
      <c r="M22" s="66" t="s">
        <v>174</v>
      </c>
      <c r="N22" s="33">
        <v>109900</v>
      </c>
      <c r="O22" s="212"/>
      <c r="P22" s="44"/>
      <c r="Q22" s="215"/>
      <c r="R22" s="56"/>
      <c r="U22" s="48"/>
      <c r="V22" s="48"/>
      <c r="W22" s="48"/>
      <c r="X22" s="48"/>
      <c r="Y22" s="48"/>
      <c r="AA22" s="50"/>
      <c r="AB22" s="50"/>
      <c r="AC22" s="48"/>
    </row>
    <row r="23" spans="1:29" s="49" customFormat="1" ht="45.75" thickBot="1">
      <c r="A23" s="32">
        <v>1</v>
      </c>
      <c r="B23" s="32" t="s">
        <v>28</v>
      </c>
      <c r="C23" s="32" t="s">
        <v>36</v>
      </c>
      <c r="D23" s="32"/>
      <c r="E23" s="32"/>
      <c r="F23" s="33">
        <v>2428.02</v>
      </c>
      <c r="G23" s="32">
        <v>5.3</v>
      </c>
      <c r="H23" s="33">
        <f>92579.17+38605.53+501.85</f>
        <v>131686.55000000002</v>
      </c>
      <c r="I23" s="33">
        <v>50418.36</v>
      </c>
      <c r="J23" s="33">
        <f>'ТСЖ 3 кв.2019г '!O25+'ТСЖ 4  кв.2019г'!H23</f>
        <v>807228.46000000008</v>
      </c>
      <c r="K23" s="33">
        <f>'ТСЖ 3 кв.2019г '!O25+'ТСЖ 4  кв.2019г'!I23</f>
        <v>725960.27</v>
      </c>
      <c r="L23" s="43"/>
      <c r="M23" s="33"/>
      <c r="N23" s="33"/>
      <c r="O23" s="33">
        <f t="shared" si="4"/>
        <v>725960.27</v>
      </c>
      <c r="P23" s="44">
        <v>388089.32</v>
      </c>
      <c r="Q23" s="46">
        <f t="shared" si="5"/>
        <v>89.932442421566748</v>
      </c>
      <c r="R23" s="56">
        <f t="shared" si="0"/>
        <v>94136.700000000055</v>
      </c>
      <c r="U23" s="48"/>
      <c r="V23" s="48">
        <f>'ТСЖ 1 кв.2019г'!J22-'ТСЖ 1 кв.2019г'!N22+25135.59</f>
        <v>703171.62</v>
      </c>
      <c r="W23" s="48">
        <f>38605.53</f>
        <v>38605.53</v>
      </c>
      <c r="X23" s="48">
        <v>314.41000000000003</v>
      </c>
      <c r="Y23" s="48">
        <v>89927.87</v>
      </c>
      <c r="AA23" s="50">
        <f t="shared" si="1"/>
        <v>38605.517999999996</v>
      </c>
      <c r="AB23" s="50">
        <f t="shared" si="2"/>
        <v>-1.2000000002444722E-2</v>
      </c>
      <c r="AC23" s="48">
        <f t="shared" si="3"/>
        <v>12868.51</v>
      </c>
    </row>
    <row r="24" spans="1:29" s="49" customFormat="1" ht="72" customHeight="1">
      <c r="A24" s="32"/>
      <c r="B24" s="32" t="s">
        <v>28</v>
      </c>
      <c r="C24" s="32" t="s">
        <v>75</v>
      </c>
      <c r="D24" s="32"/>
      <c r="E24" s="32"/>
      <c r="F24" s="32">
        <v>2085.9</v>
      </c>
      <c r="G24" s="32">
        <v>5.3</v>
      </c>
      <c r="H24" s="33">
        <f>60692.56+33038.61+636.27-10000</f>
        <v>84367.44</v>
      </c>
      <c r="I24" s="33">
        <f>68400.03-0.04</f>
        <v>68399.990000000005</v>
      </c>
      <c r="J24" s="33">
        <f>'ТСЖ 3 кв.2019г '!O26+H24</f>
        <v>572975.74</v>
      </c>
      <c r="K24" s="33">
        <f>'ТСЖ 3 кв.2019г '!O26+I24</f>
        <v>557008.29</v>
      </c>
      <c r="L24" s="43">
        <v>43738</v>
      </c>
      <c r="M24" s="66" t="s">
        <v>183</v>
      </c>
      <c r="N24" s="33">
        <v>123404.03</v>
      </c>
      <c r="O24" s="33">
        <f>K24-N24</f>
        <v>433604.26</v>
      </c>
      <c r="P24" s="74">
        <v>223464.31</v>
      </c>
      <c r="Q24" s="46">
        <f>K24/J24*100</f>
        <v>97.21324152397797</v>
      </c>
      <c r="R24" s="56">
        <f>J24-K24+AC24</f>
        <v>27022.71999999995</v>
      </c>
      <c r="U24" s="48"/>
      <c r="V24" s="48">
        <f>'ТСЖ 1 кв.2019г'!J29-'ТСЖ 1 кв.2019г'!N29-84.8</f>
        <v>606240.77999999991</v>
      </c>
      <c r="W24" s="48">
        <f>33165.81</f>
        <v>33165.81</v>
      </c>
      <c r="X24" s="48">
        <v>388.39</v>
      </c>
      <c r="Y24" s="48">
        <v>83988.42</v>
      </c>
      <c r="AA24" s="50">
        <f>F24*G24*3</f>
        <v>33165.81</v>
      </c>
      <c r="AB24" s="50">
        <f>AA24-W24</f>
        <v>0</v>
      </c>
      <c r="AC24" s="48">
        <f>W24/3</f>
        <v>11055.269999999999</v>
      </c>
    </row>
    <row r="25" spans="1:29" s="49" customFormat="1" ht="66.75" customHeight="1">
      <c r="A25" s="32"/>
      <c r="B25" s="32" t="s">
        <v>28</v>
      </c>
      <c r="C25" s="32" t="s">
        <v>74</v>
      </c>
      <c r="D25" s="32"/>
      <c r="E25" s="32"/>
      <c r="F25" s="33">
        <v>2087.9</v>
      </c>
      <c r="G25" s="32">
        <v>5.3</v>
      </c>
      <c r="H25" s="33">
        <f>72488.76+33213.51+376.07</f>
        <v>106078.34</v>
      </c>
      <c r="I25" s="33">
        <v>48500.06</v>
      </c>
      <c r="J25" s="33">
        <f>'ТСЖ 3 кв.2019г '!O28+'ТСЖ 4  кв.2019г'!H25</f>
        <v>463162.24</v>
      </c>
      <c r="K25" s="33">
        <f>'ТСЖ 3 кв.2019г '!O28+'ТСЖ 4  кв.2019г'!I25</f>
        <v>405583.96</v>
      </c>
      <c r="L25" s="43"/>
      <c r="M25" s="66"/>
      <c r="N25" s="33"/>
      <c r="O25" s="33">
        <f>K25-N25</f>
        <v>405583.96</v>
      </c>
      <c r="P25" s="78">
        <v>243907.98</v>
      </c>
      <c r="Q25" s="46">
        <f t="shared" si="5"/>
        <v>87.56844253970273</v>
      </c>
      <c r="R25" s="56">
        <f t="shared" si="0"/>
        <v>68644.149999999965</v>
      </c>
      <c r="U25" s="48"/>
      <c r="V25" s="48">
        <f>'ТСЖ 1 кв.2019г'!J28-'ТСЖ 1 кв.2019г'!N28</f>
        <v>610099.89</v>
      </c>
      <c r="W25" s="48">
        <f>33197.61</f>
        <v>33197.61</v>
      </c>
      <c r="X25" s="48">
        <v>221.81</v>
      </c>
      <c r="Y25" s="48">
        <v>97980.62</v>
      </c>
      <c r="AA25" s="50">
        <f t="shared" si="1"/>
        <v>33197.61</v>
      </c>
      <c r="AB25" s="50">
        <f t="shared" si="2"/>
        <v>0</v>
      </c>
      <c r="AC25" s="48">
        <f t="shared" si="3"/>
        <v>11065.87</v>
      </c>
    </row>
    <row r="26" spans="1:29" s="49" customFormat="1" ht="45.75" thickBot="1">
      <c r="A26" s="60">
        <v>1</v>
      </c>
      <c r="B26" s="60" t="s">
        <v>28</v>
      </c>
      <c r="C26" s="60" t="s">
        <v>34</v>
      </c>
      <c r="D26" s="60"/>
      <c r="E26" s="60"/>
      <c r="F26" s="61">
        <v>2823.8</v>
      </c>
      <c r="G26" s="60">
        <v>5.3</v>
      </c>
      <c r="H26" s="61">
        <f>108165.24+44898.42+639.37</f>
        <v>153703.03</v>
      </c>
      <c r="I26" s="61">
        <v>49138.53</v>
      </c>
      <c r="J26" s="61">
        <f>'ТСЖ 3 кв.2019г '!O30+'ТСЖ 4  кв.2019г'!H26</f>
        <v>821070.97</v>
      </c>
      <c r="K26" s="61">
        <f>'ТСЖ 3 кв.2019г '!O30+'ТСЖ 4  кв.2019г'!I26</f>
        <v>716506.47</v>
      </c>
      <c r="L26" s="72"/>
      <c r="M26" s="61"/>
      <c r="N26" s="61"/>
      <c r="O26" s="61">
        <f t="shared" ref="O26:O31" si="6">K26-N26</f>
        <v>716506.47</v>
      </c>
      <c r="P26" s="44">
        <v>420551</v>
      </c>
      <c r="Q26" s="65">
        <f t="shared" ref="Q26:Q31" si="7">K26/J26*100</f>
        <v>87.264864570720363</v>
      </c>
      <c r="R26" s="56">
        <f t="shared" ref="R26:R31" si="8">J26-K26+AC26</f>
        <v>119530.64</v>
      </c>
      <c r="U26" s="48"/>
      <c r="V26" s="48">
        <f>'ТСЖ 1 кв.2019г'!J20-'ТСЖ 1 кв.2019г'!N20+19.18</f>
        <v>699485.66999999993</v>
      </c>
      <c r="W26" s="48">
        <f>44898.42</f>
        <v>44898.42</v>
      </c>
      <c r="X26" s="48">
        <v>399.13</v>
      </c>
      <c r="Y26" s="48">
        <v>160749.49</v>
      </c>
      <c r="AA26" s="50">
        <f t="shared" ref="AA26:AA31" si="9">F26*G26*3</f>
        <v>44898.420000000006</v>
      </c>
      <c r="AB26" s="50">
        <f t="shared" ref="AB26:AB31" si="10">AA26-W26</f>
        <v>0</v>
      </c>
      <c r="AC26" s="48">
        <f t="shared" ref="AC26:AC31" si="11">W26/3</f>
        <v>14966.14</v>
      </c>
    </row>
    <row r="27" spans="1:29" s="49" customFormat="1" ht="45.75" thickBot="1">
      <c r="A27" s="32">
        <v>1</v>
      </c>
      <c r="B27" s="32" t="s">
        <v>37</v>
      </c>
      <c r="C27" s="32" t="s">
        <v>38</v>
      </c>
      <c r="D27" s="32"/>
      <c r="E27" s="32"/>
      <c r="F27" s="33">
        <v>1135</v>
      </c>
      <c r="G27" s="32">
        <v>5.3</v>
      </c>
      <c r="H27" s="33">
        <f>37259.82+18046.5+234.06</f>
        <v>55540.38</v>
      </c>
      <c r="I27" s="33">
        <v>38173.19</v>
      </c>
      <c r="J27" s="33">
        <f>'ТСЖ 3 кв.2019г '!O31+'ТСЖ 4  кв.2019г'!H27</f>
        <v>130917.81</v>
      </c>
      <c r="K27" s="33">
        <f>'ТСЖ 3 кв.2019г '!O31+'ТСЖ 4  кв.2019г'!I27</f>
        <v>113550.62000000001</v>
      </c>
      <c r="L27" s="43"/>
      <c r="M27" s="66"/>
      <c r="N27" s="33"/>
      <c r="O27" s="33">
        <f t="shared" si="6"/>
        <v>113550.62000000001</v>
      </c>
      <c r="P27" s="44">
        <v>146097.04999999999</v>
      </c>
      <c r="Q27" s="46">
        <f t="shared" si="7"/>
        <v>86.7342800799983</v>
      </c>
      <c r="R27" s="56">
        <f t="shared" si="8"/>
        <v>23382.689999999988</v>
      </c>
      <c r="U27" s="48"/>
      <c r="V27" s="48">
        <f>'ТСЖ 1 кв.2019г'!J23-'ТСЖ 1 кв.2019г'!N23+202.67</f>
        <v>102310.45</v>
      </c>
      <c r="W27" s="48">
        <f>18046.5</f>
        <v>18046.5</v>
      </c>
      <c r="X27" s="48">
        <v>121.79</v>
      </c>
      <c r="Y27" s="48">
        <v>49101.18</v>
      </c>
      <c r="AA27" s="50">
        <f t="shared" si="9"/>
        <v>18046.5</v>
      </c>
      <c r="AB27" s="50">
        <f t="shared" si="10"/>
        <v>0</v>
      </c>
      <c r="AC27" s="48">
        <f t="shared" si="11"/>
        <v>6015.5</v>
      </c>
    </row>
    <row r="28" spans="1:29" s="49" customFormat="1" ht="45.75" thickBot="1">
      <c r="A28" s="32">
        <v>1</v>
      </c>
      <c r="B28" s="32" t="s">
        <v>37</v>
      </c>
      <c r="C28" s="32" t="s">
        <v>40</v>
      </c>
      <c r="D28" s="32"/>
      <c r="E28" s="32"/>
      <c r="F28" s="33">
        <v>2119.3000000000002</v>
      </c>
      <c r="G28" s="32">
        <v>5.3</v>
      </c>
      <c r="H28" s="33">
        <f>117577.14+33696.87+592.54</f>
        <v>151866.55000000002</v>
      </c>
      <c r="I28" s="33">
        <v>36622.980000000003</v>
      </c>
      <c r="J28" s="33">
        <f>'ТСЖ 3 кв.2019г '!O32+'ТСЖ 4  кв.2019г'!H28</f>
        <v>254420.26</v>
      </c>
      <c r="K28" s="33">
        <f>'ТСЖ 3 кв.2019г '!O32+'ТСЖ 4  кв.2019г'!I28</f>
        <v>139176.68999999997</v>
      </c>
      <c r="L28" s="43"/>
      <c r="M28" s="33"/>
      <c r="N28" s="33"/>
      <c r="O28" s="33">
        <f t="shared" si="6"/>
        <v>139176.68999999997</v>
      </c>
      <c r="P28" s="44">
        <v>235115.53</v>
      </c>
      <c r="Q28" s="46">
        <f t="shared" si="7"/>
        <v>54.70346190197273</v>
      </c>
      <c r="R28" s="56">
        <f t="shared" si="8"/>
        <v>126475.86000000004</v>
      </c>
      <c r="S28" s="49" t="s">
        <v>113</v>
      </c>
      <c r="U28" s="56">
        <v>110000</v>
      </c>
      <c r="V28" s="48">
        <f>('ТСЖ 1 кв.2019г'!J24-'ТСЖ 1 кв.2019г'!N24)-U28</f>
        <v>53173.06</v>
      </c>
      <c r="W28" s="48">
        <f>33696.87</f>
        <v>33696.870000000003</v>
      </c>
      <c r="X28" s="48">
        <v>383.59</v>
      </c>
      <c r="Y28" s="48">
        <v>158920.45000000001</v>
      </c>
      <c r="Z28" s="48"/>
      <c r="AA28" s="50">
        <f t="shared" si="9"/>
        <v>33696.870000000003</v>
      </c>
      <c r="AB28" s="50">
        <f t="shared" si="10"/>
        <v>0</v>
      </c>
      <c r="AC28" s="48">
        <f t="shared" si="11"/>
        <v>11232.29</v>
      </c>
    </row>
    <row r="29" spans="1:29" s="49" customFormat="1" ht="48.75" thickBot="1">
      <c r="A29" s="32">
        <v>1</v>
      </c>
      <c r="B29" s="32" t="s">
        <v>28</v>
      </c>
      <c r="C29" s="32" t="s">
        <v>42</v>
      </c>
      <c r="D29" s="32"/>
      <c r="E29" s="32"/>
      <c r="F29" s="33">
        <v>2094.4</v>
      </c>
      <c r="G29" s="32">
        <v>5.3</v>
      </c>
      <c r="H29" s="33">
        <f>76786.51+33300.96+409.69</f>
        <v>110497.16</v>
      </c>
      <c r="I29" s="33">
        <v>26205.88</v>
      </c>
      <c r="J29" s="33">
        <f>'ТСЖ 3 кв.2019г '!O33+'ТСЖ 4  кв.2019г'!H29</f>
        <v>242370.46000000002</v>
      </c>
      <c r="K29" s="33">
        <f>'ТСЖ 3 кв.2019г '!O33+'ТСЖ 4  кв.2019г'!I29</f>
        <v>158079.18000000002</v>
      </c>
      <c r="L29" s="43">
        <v>43770</v>
      </c>
      <c r="M29" s="66" t="s">
        <v>184</v>
      </c>
      <c r="N29" s="33">
        <v>15400</v>
      </c>
      <c r="O29" s="33">
        <f t="shared" si="6"/>
        <v>142679.18000000002</v>
      </c>
      <c r="P29" s="44">
        <v>287247.24</v>
      </c>
      <c r="Q29" s="46">
        <f t="shared" si="7"/>
        <v>65.222131442915938</v>
      </c>
      <c r="R29" s="56">
        <f t="shared" si="8"/>
        <v>95391.6</v>
      </c>
      <c r="U29" s="48"/>
      <c r="V29" s="48">
        <f>'ТСЖ 1 кв.2019г'!J25-'ТСЖ 1 кв.2019г'!N25-0.33</f>
        <v>159264.87000000002</v>
      </c>
      <c r="W29" s="48">
        <f>33300.96</f>
        <v>33300.959999999999</v>
      </c>
      <c r="X29" s="48">
        <v>255.31</v>
      </c>
      <c r="Y29" s="48">
        <v>105943.24</v>
      </c>
      <c r="AA29" s="50">
        <f t="shared" si="9"/>
        <v>33300.959999999999</v>
      </c>
      <c r="AB29" s="50">
        <f t="shared" si="10"/>
        <v>0</v>
      </c>
      <c r="AC29" s="48">
        <f t="shared" si="11"/>
        <v>11100.32</v>
      </c>
    </row>
    <row r="30" spans="1:29" s="49" customFormat="1" ht="45.75" thickBot="1">
      <c r="A30" s="32">
        <v>1</v>
      </c>
      <c r="B30" s="32" t="s">
        <v>28</v>
      </c>
      <c r="C30" s="32" t="s">
        <v>31</v>
      </c>
      <c r="D30" s="32"/>
      <c r="E30" s="32"/>
      <c r="F30" s="33">
        <v>3225.6</v>
      </c>
      <c r="G30" s="32">
        <v>5.3</v>
      </c>
      <c r="H30" s="33">
        <f>232559.46+51287.04+1216.58</f>
        <v>285063.08</v>
      </c>
      <c r="I30" s="33">
        <v>83825.19</v>
      </c>
      <c r="J30" s="33">
        <f>'ТСЖ 3 кв.2019г '!O34+'ТСЖ 4  кв.2019г'!H30</f>
        <v>531421.17000000004</v>
      </c>
      <c r="K30" s="33">
        <f>'ТСЖ 3 кв.2019г '!O34+'ТСЖ 4  кв.2019г'!I30</f>
        <v>330183.28000000003</v>
      </c>
      <c r="L30" s="43"/>
      <c r="M30" s="33"/>
      <c r="N30" s="33"/>
      <c r="O30" s="33">
        <f t="shared" si="6"/>
        <v>330183.28000000003</v>
      </c>
      <c r="P30" s="44">
        <v>354498.41</v>
      </c>
      <c r="Q30" s="46">
        <f t="shared" si="7"/>
        <v>62.132127705789365</v>
      </c>
      <c r="R30" s="56">
        <f t="shared" si="8"/>
        <v>218333.57</v>
      </c>
      <c r="S30" s="49" t="s">
        <v>113</v>
      </c>
      <c r="U30" s="48">
        <v>50000</v>
      </c>
      <c r="V30" s="48">
        <f>'ТСЖ 1 кв.2019г'!J18-'ТСЖ 1 кв.2019г'!N18+95348-U30</f>
        <v>342221.27</v>
      </c>
      <c r="W30" s="48">
        <f>51287.04</f>
        <v>51287.040000000001</v>
      </c>
      <c r="X30" s="48">
        <v>589.63</v>
      </c>
      <c r="Y30" s="48">
        <v>276115.55</v>
      </c>
      <c r="AA30" s="50">
        <f t="shared" si="9"/>
        <v>51287.040000000001</v>
      </c>
      <c r="AB30" s="50">
        <f t="shared" si="10"/>
        <v>0</v>
      </c>
      <c r="AC30" s="48">
        <f t="shared" si="11"/>
        <v>17095.68</v>
      </c>
    </row>
    <row r="31" spans="1:29" s="49" customFormat="1" ht="45.75" thickBot="1">
      <c r="A31" s="32">
        <v>1</v>
      </c>
      <c r="B31" s="32" t="s">
        <v>28</v>
      </c>
      <c r="C31" s="32" t="s">
        <v>33</v>
      </c>
      <c r="D31" s="32"/>
      <c r="E31" s="32"/>
      <c r="F31" s="33">
        <v>2135.5</v>
      </c>
      <c r="G31" s="32">
        <v>5.3</v>
      </c>
      <c r="H31" s="33">
        <f>104837.68+33954.45+587.03-65000</f>
        <v>74379.16</v>
      </c>
      <c r="I31" s="33">
        <v>23241.79</v>
      </c>
      <c r="J31" s="33">
        <f>'ТСЖ 3 кв.2019г '!O35+'ТСЖ 4  кв.2019г'!H31</f>
        <v>104120.35000000003</v>
      </c>
      <c r="K31" s="33">
        <f>'ТСЖ 3 кв.2019г '!O35+'ТСЖ 4  кв.2019г'!I31</f>
        <v>52982.980000000032</v>
      </c>
      <c r="L31" s="43"/>
      <c r="M31" s="66"/>
      <c r="N31" s="33"/>
      <c r="O31" s="33">
        <f t="shared" si="6"/>
        <v>52982.980000000032</v>
      </c>
      <c r="P31" s="44">
        <v>309141.18</v>
      </c>
      <c r="Q31" s="46">
        <f t="shared" si="7"/>
        <v>50.886286878597708</v>
      </c>
      <c r="R31" s="56">
        <f t="shared" si="8"/>
        <v>62455.520000000004</v>
      </c>
      <c r="S31" s="57" t="s">
        <v>113</v>
      </c>
      <c r="T31" s="57"/>
      <c r="U31" s="56">
        <v>50000</v>
      </c>
      <c r="V31" s="48">
        <f>'ТСЖ 1 кв.2019г'!J19-'ТСЖ 1 кв.2019г'!N19+86716.99-U31</f>
        <v>163493.34</v>
      </c>
      <c r="W31" s="48">
        <f>33954.45</f>
        <v>33954.449999999997</v>
      </c>
      <c r="X31" s="48">
        <v>378.57</v>
      </c>
      <c r="Y31" s="48">
        <v>143983.28</v>
      </c>
      <c r="AA31" s="50">
        <f t="shared" si="9"/>
        <v>33954.449999999997</v>
      </c>
      <c r="AB31" s="50">
        <f t="shared" si="10"/>
        <v>0</v>
      </c>
      <c r="AC31" s="48">
        <f t="shared" si="11"/>
        <v>11318.15</v>
      </c>
    </row>
    <row r="32" spans="1:29">
      <c r="A32" s="2"/>
      <c r="R32" s="3">
        <f>SUM(R15:R25)</f>
        <v>1199026.26</v>
      </c>
      <c r="S32" s="3">
        <f>SUM(S15:S25)</f>
        <v>0</v>
      </c>
      <c r="T32" s="3">
        <f>SUM(T15:T25)</f>
        <v>0</v>
      </c>
      <c r="U32" s="3">
        <f>SUM(U15:U25)</f>
        <v>0</v>
      </c>
      <c r="W32" s="3">
        <f>SUM(W15:W25)</f>
        <v>335181.87</v>
      </c>
      <c r="X32" s="3">
        <f>SUM(X15:X25)</f>
        <v>3677.41</v>
      </c>
      <c r="Y32" s="3">
        <f>SUM(Y15:Y25)</f>
        <v>1276965.6299999999</v>
      </c>
    </row>
    <row r="33" spans="1:28" ht="15.75">
      <c r="A33" s="4" t="s">
        <v>76</v>
      </c>
      <c r="C33" s="17"/>
      <c r="D33" s="17"/>
      <c r="E33" s="17"/>
      <c r="F33" s="17"/>
      <c r="G33" s="17"/>
      <c r="H33" s="17"/>
      <c r="I33" s="26"/>
      <c r="U33" s="3">
        <f>R32+U32</f>
        <v>1199026.26</v>
      </c>
      <c r="W33" s="3">
        <f>550366.11</f>
        <v>550366.11</v>
      </c>
    </row>
    <row r="34" spans="1:28" ht="15" customHeight="1">
      <c r="A34" s="2"/>
      <c r="B34" s="76" t="s">
        <v>164</v>
      </c>
      <c r="C34" s="203" t="s">
        <v>188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</row>
    <row r="35" spans="1:28" ht="15.75" hidden="1">
      <c r="A35" s="2"/>
      <c r="B35" s="77"/>
      <c r="C35" s="203" t="s">
        <v>131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W35" s="3">
        <f>W32-W33</f>
        <v>-215184.24</v>
      </c>
    </row>
    <row r="36" spans="1:28" ht="15.75" hidden="1">
      <c r="A36" s="2"/>
      <c r="B36" s="77" t="s">
        <v>165</v>
      </c>
      <c r="C36" s="203" t="s">
        <v>185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</row>
    <row r="37" spans="1:28" ht="15.75" hidden="1">
      <c r="A37" s="2"/>
      <c r="B37" s="77" t="s">
        <v>166</v>
      </c>
      <c r="C37" s="203" t="s">
        <v>169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28" ht="15.75" hidden="1">
      <c r="A38" s="2"/>
      <c r="B38" s="77" t="s">
        <v>166</v>
      </c>
      <c r="C38" s="203" t="s">
        <v>186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28" ht="15.75" hidden="1">
      <c r="A39" s="2"/>
      <c r="B39" s="77" t="s">
        <v>167</v>
      </c>
      <c r="C39" s="203" t="s">
        <v>187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28" ht="15.75" hidden="1">
      <c r="A40" s="2"/>
      <c r="B40" s="77" t="s">
        <v>165</v>
      </c>
      <c r="C40" s="203" t="s">
        <v>180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28" ht="15.75" hidden="1">
      <c r="A41" s="2"/>
      <c r="B41" s="77" t="s">
        <v>166</v>
      </c>
      <c r="C41" s="203" t="s">
        <v>181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28" ht="15.75" hidden="1">
      <c r="A42" s="2"/>
      <c r="B42" s="77" t="s">
        <v>167</v>
      </c>
      <c r="C42" s="203" t="s">
        <v>182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28" ht="15.75" hidden="1">
      <c r="A43" s="2"/>
      <c r="B43" s="75" t="s">
        <v>168</v>
      </c>
      <c r="C43" s="203" t="s">
        <v>178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28" ht="15.75" hidden="1">
      <c r="A44" s="2"/>
      <c r="B44" s="75" t="s">
        <v>171</v>
      </c>
      <c r="C44" s="203" t="s">
        <v>170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28" ht="15.75" hidden="1">
      <c r="A45" s="2"/>
      <c r="B45" s="75" t="s">
        <v>176</v>
      </c>
      <c r="C45" s="203" t="s">
        <v>179</v>
      </c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28" ht="15.75" hidden="1">
      <c r="A46" s="2"/>
      <c r="B46" s="75" t="s">
        <v>177</v>
      </c>
      <c r="C46" s="203" t="s">
        <v>172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28" ht="15.75">
      <c r="A47" s="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28" s="27" customFormat="1" ht="15.75">
      <c r="A48" s="4" t="s">
        <v>160</v>
      </c>
      <c r="I48" s="28"/>
      <c r="U48" s="28"/>
      <c r="V48" s="28"/>
      <c r="W48" s="28"/>
      <c r="X48" s="28"/>
      <c r="Y48" s="28"/>
      <c r="AA48" s="28"/>
      <c r="AB48" s="28"/>
    </row>
    <row r="49" spans="1:28" s="27" customFormat="1" ht="15.75">
      <c r="A49" s="4"/>
      <c r="I49" s="28"/>
      <c r="U49" s="28"/>
      <c r="V49" s="28"/>
      <c r="W49" s="28"/>
      <c r="X49" s="28"/>
      <c r="Y49" s="28"/>
      <c r="AA49" s="28"/>
      <c r="AB49" s="28"/>
    </row>
    <row r="50" spans="1:28" s="27" customFormat="1" ht="15.75">
      <c r="A50" s="4"/>
      <c r="I50" s="28"/>
      <c r="U50" s="28"/>
      <c r="V50" s="28"/>
      <c r="W50" s="28"/>
      <c r="X50" s="28"/>
      <c r="Y50" s="28"/>
      <c r="AA50" s="28"/>
      <c r="AB50" s="28"/>
    </row>
    <row r="51" spans="1:28" s="27" customFormat="1" ht="15.75">
      <c r="A51" s="4" t="s">
        <v>47</v>
      </c>
      <c r="I51" s="28"/>
      <c r="U51" s="28"/>
      <c r="V51" s="28"/>
      <c r="W51" s="28"/>
      <c r="X51" s="28"/>
      <c r="Y51" s="28"/>
      <c r="AA51" s="28"/>
      <c r="AB51" s="28"/>
    </row>
    <row r="52" spans="1:28" s="27" customFormat="1" ht="15.75">
      <c r="A52" s="30" t="s">
        <v>48</v>
      </c>
      <c r="I52" s="28"/>
      <c r="U52" s="28"/>
      <c r="V52" s="28"/>
      <c r="W52" s="28"/>
      <c r="X52" s="28"/>
      <c r="Y52" s="28"/>
      <c r="AA52" s="28"/>
      <c r="AB52" s="28"/>
    </row>
    <row r="53" spans="1:28">
      <c r="A53" s="1"/>
    </row>
    <row r="54" spans="1:28">
      <c r="A54" s="1"/>
      <c r="K54" s="3"/>
    </row>
    <row r="55" spans="1:28">
      <c r="A55" s="1"/>
    </row>
    <row r="56" spans="1:28">
      <c r="A56" s="1"/>
    </row>
    <row r="57" spans="1:28">
      <c r="A57" s="1"/>
    </row>
    <row r="58" spans="1:28">
      <c r="A58" s="1"/>
    </row>
    <row r="59" spans="1:28">
      <c r="A59" s="1"/>
    </row>
    <row r="60" spans="1:28">
      <c r="A60" s="1"/>
    </row>
    <row r="61" spans="1:28">
      <c r="A61" s="1"/>
    </row>
    <row r="62" spans="1:28">
      <c r="A62" s="1"/>
    </row>
    <row r="63" spans="1:28">
      <c r="A63" s="1"/>
    </row>
    <row r="64" spans="1:28">
      <c r="A64" s="1"/>
    </row>
    <row r="65" spans="1:1">
      <c r="A65" s="1"/>
    </row>
    <row r="66" spans="1:1">
      <c r="A66" s="1"/>
    </row>
    <row r="67" spans="1:1">
      <c r="A67" s="1"/>
    </row>
  </sheetData>
  <mergeCells count="63">
    <mergeCell ref="C43:O43"/>
    <mergeCell ref="C45:O45"/>
    <mergeCell ref="C46:O46"/>
    <mergeCell ref="C44:O44"/>
    <mergeCell ref="C42:O42"/>
    <mergeCell ref="C36:O36"/>
    <mergeCell ref="C38:O38"/>
    <mergeCell ref="C39:O39"/>
    <mergeCell ref="C40:O40"/>
    <mergeCell ref="C41:O41"/>
    <mergeCell ref="C37:O37"/>
    <mergeCell ref="C34:O34"/>
    <mergeCell ref="C35:O35"/>
    <mergeCell ref="J21:J22"/>
    <mergeCell ref="K21:K22"/>
    <mergeCell ref="O21:O22"/>
    <mergeCell ref="Q21:Q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16:J17"/>
    <mergeCell ref="K16:K17"/>
    <mergeCell ref="O16:O17"/>
    <mergeCell ref="Q16:Q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Q11:Q13"/>
    <mergeCell ref="H12:H13"/>
    <mergeCell ref="I12:I13"/>
    <mergeCell ref="J12:J13"/>
    <mergeCell ref="K12:K13"/>
    <mergeCell ref="L12:L13"/>
    <mergeCell ref="M12:M13"/>
    <mergeCell ref="N12:N13"/>
    <mergeCell ref="O11:O13"/>
    <mergeCell ref="F11:F13"/>
    <mergeCell ref="G11:G13"/>
    <mergeCell ref="H11:I11"/>
    <mergeCell ref="J11:K11"/>
    <mergeCell ref="L11:N11"/>
    <mergeCell ref="A3:O3"/>
    <mergeCell ref="D5:M5"/>
    <mergeCell ref="D8:L8"/>
    <mergeCell ref="A1:Q1"/>
    <mergeCell ref="A2:Q2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31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R31"/>
  <sheetViews>
    <sheetView topLeftCell="A12" workbookViewId="0">
      <selection activeCell="W28" sqref="W28"/>
    </sheetView>
  </sheetViews>
  <sheetFormatPr defaultColWidth="9.140625" defaultRowHeight="15"/>
  <cols>
    <col min="1" max="2" width="9.140625" style="13"/>
    <col min="3" max="3" width="15.42578125" style="13" customWidth="1"/>
    <col min="4" max="6" width="9.140625" style="13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0.42578125" style="13" customWidth="1"/>
    <col min="15" max="15" width="13.42578125" style="13" customWidth="1"/>
    <col min="16" max="16" width="7" style="15" customWidth="1"/>
    <col min="17" max="17" width="9.140625" style="13"/>
    <col min="18" max="18" width="11.5703125" style="13" bestFit="1" customWidth="1"/>
    <col min="19" max="16384" width="9.140625" style="13"/>
  </cols>
  <sheetData>
    <row r="1" spans="1:18" ht="11.2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8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62"/>
    </row>
    <row r="3" spans="1:18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</row>
    <row r="4" spans="1:18" ht="15.75">
      <c r="A4" s="158" t="s">
        <v>115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8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18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18" ht="15.75">
      <c r="A7" s="1" t="s">
        <v>7</v>
      </c>
      <c r="D7" s="18" t="s">
        <v>51</v>
      </c>
      <c r="E7" s="17"/>
      <c r="F7" s="17"/>
      <c r="G7" s="17"/>
      <c r="H7" s="17"/>
    </row>
    <row r="8" spans="1:18">
      <c r="A8" s="1" t="s">
        <v>8</v>
      </c>
    </row>
    <row r="9" spans="1:18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18" ht="15.75">
      <c r="A10" s="18" t="s">
        <v>61</v>
      </c>
    </row>
    <row r="11" spans="1:18" ht="15.75">
      <c r="A11" s="18" t="s">
        <v>62</v>
      </c>
    </row>
    <row r="12" spans="1:18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</row>
    <row r="13" spans="1:18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</row>
    <row r="14" spans="1:18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</row>
    <row r="15" spans="1:18">
      <c r="A15" s="7">
        <v>1</v>
      </c>
      <c r="B15" s="6">
        <v>1</v>
      </c>
      <c r="C15" s="7">
        <v>2</v>
      </c>
      <c r="D15" s="7">
        <v>3</v>
      </c>
      <c r="E15" s="7">
        <v>4</v>
      </c>
      <c r="F15" s="7">
        <v>5</v>
      </c>
      <c r="G15" s="7">
        <v>6</v>
      </c>
      <c r="H15" s="6">
        <v>7</v>
      </c>
      <c r="I15" s="6">
        <v>8</v>
      </c>
      <c r="J15" s="6">
        <v>9</v>
      </c>
      <c r="K15" s="6">
        <v>10</v>
      </c>
      <c r="L15" s="6">
        <v>11</v>
      </c>
      <c r="M15" s="6">
        <v>12</v>
      </c>
      <c r="N15" s="6">
        <v>13</v>
      </c>
      <c r="O15" s="8">
        <v>14</v>
      </c>
    </row>
    <row r="16" spans="1:18" s="15" customFormat="1" ht="88.5" customHeight="1">
      <c r="A16" s="172">
        <v>1</v>
      </c>
      <c r="B16" s="172" t="s">
        <v>28</v>
      </c>
      <c r="C16" s="172" t="s">
        <v>52</v>
      </c>
      <c r="D16" s="172">
        <v>2001</v>
      </c>
      <c r="E16" s="172"/>
      <c r="F16" s="172" t="s">
        <v>53</v>
      </c>
      <c r="G16" s="172">
        <v>5.3</v>
      </c>
      <c r="H16" s="211">
        <f>157626.23+98712.52+1728.26</f>
        <v>258067.01</v>
      </c>
      <c r="I16" s="211">
        <v>126446.34</v>
      </c>
      <c r="J16" s="211">
        <f>'УК 2 кв. 2019г '!O16+'УК 3 кв. 2019г '!H16:H17</f>
        <v>2331639.5599999996</v>
      </c>
      <c r="K16" s="211">
        <f>'УК 2 кв. 2019г '!O16+'УК 3 кв. 2019г '!I16:I17</f>
        <v>2200018.8899999997</v>
      </c>
      <c r="L16" s="64">
        <v>43661</v>
      </c>
      <c r="M16" s="47" t="s">
        <v>119</v>
      </c>
      <c r="N16" s="33">
        <v>140350</v>
      </c>
      <c r="O16" s="211">
        <f>K16-N16-N17</f>
        <v>1958618.8899999997</v>
      </c>
      <c r="P16" s="63">
        <f>K16/J16*100</f>
        <v>94.355016433157445</v>
      </c>
      <c r="R16" s="19"/>
    </row>
    <row r="17" spans="1:18" s="15" customFormat="1" ht="88.5" customHeight="1">
      <c r="A17" s="173"/>
      <c r="B17" s="173"/>
      <c r="C17" s="173"/>
      <c r="D17" s="173"/>
      <c r="E17" s="173"/>
      <c r="F17" s="173"/>
      <c r="G17" s="173"/>
      <c r="H17" s="212"/>
      <c r="I17" s="212"/>
      <c r="J17" s="212"/>
      <c r="K17" s="212"/>
      <c r="L17" s="64">
        <v>43717</v>
      </c>
      <c r="M17" s="47" t="s">
        <v>120</v>
      </c>
      <c r="N17" s="33">
        <v>101050</v>
      </c>
      <c r="O17" s="212"/>
      <c r="P17" s="63"/>
      <c r="R17" s="19"/>
    </row>
    <row r="18" spans="1:18" s="15" customFormat="1" ht="48.75" customHeight="1">
      <c r="A18" s="32">
        <v>2</v>
      </c>
      <c r="B18" s="32" t="s">
        <v>28</v>
      </c>
      <c r="C18" s="32" t="s">
        <v>57</v>
      </c>
      <c r="D18" s="32">
        <v>2011</v>
      </c>
      <c r="E18" s="32"/>
      <c r="F18" s="32" t="s">
        <v>58</v>
      </c>
      <c r="G18" s="32">
        <v>7.32</v>
      </c>
      <c r="H18" s="33">
        <f>99199.47+44570.06+1143.36</f>
        <v>144912.88999999998</v>
      </c>
      <c r="I18" s="33">
        <v>70557.97</v>
      </c>
      <c r="J18" s="33">
        <f>'УК 2 кв. 2019г '!O17+H18</f>
        <v>589326.1399999999</v>
      </c>
      <c r="K18" s="33">
        <f>'УК 2 кв. 2019г '!O17+'УК 3 кв. 2019г '!I18</f>
        <v>514971.22</v>
      </c>
      <c r="L18" s="32"/>
      <c r="M18" s="32"/>
      <c r="N18" s="32"/>
      <c r="O18" s="33">
        <f t="shared" ref="O18:O20" si="0">K18-N18</f>
        <v>514971.22</v>
      </c>
      <c r="P18" s="63">
        <f>K18/J18*100</f>
        <v>87.383060931252771</v>
      </c>
    </row>
    <row r="19" spans="1:18" s="15" customFormat="1" ht="51.75" customHeight="1">
      <c r="A19" s="32">
        <v>3</v>
      </c>
      <c r="B19" s="32" t="s">
        <v>28</v>
      </c>
      <c r="C19" s="32" t="s">
        <v>91</v>
      </c>
      <c r="D19" s="32">
        <v>2012</v>
      </c>
      <c r="E19" s="32"/>
      <c r="F19" s="33">
        <v>2517.1</v>
      </c>
      <c r="G19" s="32">
        <v>7.32</v>
      </c>
      <c r="H19" s="33">
        <f>401734.18+36850.36+5412.76</f>
        <v>443997.3</v>
      </c>
      <c r="I19" s="33">
        <v>30414.36</v>
      </c>
      <c r="J19" s="33">
        <f>'УК 2 кв. 2019г '!O18+H19</f>
        <v>1048949.3199999998</v>
      </c>
      <c r="K19" s="33">
        <f>'УК 2 кв. 2019г '!O18+'УК 3 кв. 2019г '!I19</f>
        <v>635366.37999999989</v>
      </c>
      <c r="L19" s="34"/>
      <c r="M19" s="35"/>
      <c r="N19" s="36"/>
      <c r="O19" s="33">
        <f t="shared" si="0"/>
        <v>635366.37999999989</v>
      </c>
      <c r="P19" s="63">
        <f>K19/J19*100</f>
        <v>60.571694731638701</v>
      </c>
      <c r="R19" s="19"/>
    </row>
    <row r="20" spans="1:18" s="15" customFormat="1" ht="48.75" customHeight="1">
      <c r="A20" s="32">
        <v>4</v>
      </c>
      <c r="B20" s="32" t="s">
        <v>28</v>
      </c>
      <c r="C20" s="32" t="s">
        <v>92</v>
      </c>
      <c r="D20" s="32">
        <v>2012</v>
      </c>
      <c r="E20" s="32"/>
      <c r="F20" s="33">
        <v>2504.1999999999998</v>
      </c>
      <c r="G20" s="32">
        <v>7.32</v>
      </c>
      <c r="H20" s="33">
        <f>302335.03+39853.02+3834.19</f>
        <v>346022.24000000005</v>
      </c>
      <c r="I20" s="33">
        <v>80789.77</v>
      </c>
      <c r="J20" s="33">
        <f>'УК 2 кв. 2019г '!O19+H20</f>
        <v>1233295.78</v>
      </c>
      <c r="K20" s="33">
        <f>'УК 2 кв. 2019г '!O19+'УК 3 кв. 2019г '!I20</f>
        <v>968063.31</v>
      </c>
      <c r="L20" s="32"/>
      <c r="M20" s="32"/>
      <c r="N20" s="32"/>
      <c r="O20" s="33">
        <f t="shared" si="0"/>
        <v>968063.31</v>
      </c>
      <c r="P20" s="63">
        <f>K20/J20*100</f>
        <v>78.494009766254123</v>
      </c>
    </row>
    <row r="21" spans="1:18">
      <c r="A21" s="2"/>
    </row>
    <row r="22" spans="1:18" s="17" customFormat="1" ht="15.75">
      <c r="A22" s="4" t="s">
        <v>64</v>
      </c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P22" s="62"/>
    </row>
    <row r="23" spans="1:18" s="17" customFormat="1" ht="15.75">
      <c r="A23" s="4"/>
      <c r="C23" s="13" t="s">
        <v>118</v>
      </c>
      <c r="D23" s="13"/>
      <c r="E23" s="13"/>
      <c r="F23" s="13"/>
      <c r="G23" s="13"/>
      <c r="H23" s="13"/>
      <c r="I23" s="13"/>
      <c r="J23" s="13"/>
      <c r="K23" s="13"/>
      <c r="P23" s="62"/>
    </row>
    <row r="24" spans="1:18" s="17" customFormat="1" ht="15.75">
      <c r="A24" s="4"/>
      <c r="C24" s="13" t="s">
        <v>121</v>
      </c>
      <c r="D24" s="13"/>
      <c r="E24" s="13"/>
      <c r="F24" s="13"/>
      <c r="G24" s="13"/>
      <c r="H24" s="13"/>
      <c r="I24" s="13"/>
      <c r="J24" s="13"/>
      <c r="K24" s="13"/>
      <c r="P24" s="62"/>
    </row>
    <row r="25" spans="1:18" s="17" customFormat="1" ht="15.75">
      <c r="A25" s="4"/>
      <c r="C25" s="13" t="s">
        <v>123</v>
      </c>
      <c r="D25" s="13"/>
      <c r="E25" s="13"/>
      <c r="F25" s="13"/>
      <c r="G25" s="13"/>
      <c r="H25" s="13"/>
      <c r="I25" s="13"/>
      <c r="J25" s="13"/>
      <c r="K25" s="13"/>
      <c r="P25" s="62"/>
    </row>
    <row r="26" spans="1:18" s="17" customFormat="1" ht="15.75">
      <c r="A26" s="4"/>
      <c r="C26" s="13" t="s">
        <v>122</v>
      </c>
      <c r="D26" s="13"/>
      <c r="E26" s="13"/>
      <c r="F26" s="13"/>
      <c r="G26" s="13"/>
      <c r="H26" s="13"/>
      <c r="I26" s="13"/>
      <c r="J26" s="13"/>
      <c r="K26" s="13"/>
      <c r="P26" s="62"/>
    </row>
    <row r="27" spans="1:18" s="17" customFormat="1" ht="15.75">
      <c r="A27" s="4"/>
      <c r="C27" s="13" t="s">
        <v>124</v>
      </c>
      <c r="D27" s="13"/>
      <c r="E27" s="13"/>
      <c r="F27" s="13"/>
      <c r="G27" s="13"/>
      <c r="H27" s="13"/>
      <c r="I27" s="13"/>
      <c r="J27" s="13"/>
      <c r="K27" s="13"/>
      <c r="P27" s="62"/>
    </row>
    <row r="28" spans="1:18" s="17" customFormat="1" ht="15.75">
      <c r="A28" s="4"/>
      <c r="P28" s="62"/>
    </row>
    <row r="29" spans="1:18" s="17" customFormat="1" ht="15.75">
      <c r="A29" s="4" t="s">
        <v>116</v>
      </c>
      <c r="P29" s="62"/>
    </row>
    <row r="30" spans="1:18" s="17" customFormat="1" ht="15.75">
      <c r="A30" s="4" t="s">
        <v>59</v>
      </c>
      <c r="P30" s="62"/>
    </row>
    <row r="31" spans="1:18">
      <c r="A31" s="2" t="s">
        <v>48</v>
      </c>
    </row>
  </sheetData>
  <mergeCells count="36">
    <mergeCell ref="D9:L9"/>
    <mergeCell ref="A1:O1"/>
    <mergeCell ref="A2:O2"/>
    <mergeCell ref="A3:O3"/>
    <mergeCell ref="A4:O4"/>
    <mergeCell ref="D6:M6"/>
    <mergeCell ref="A12:A14"/>
    <mergeCell ref="B12:B14"/>
    <mergeCell ref="C12:C14"/>
    <mergeCell ref="D12:D14"/>
    <mergeCell ref="E12:E14"/>
    <mergeCell ref="J12:K12"/>
    <mergeCell ref="L12:N12"/>
    <mergeCell ref="O12:O14"/>
    <mergeCell ref="H13:H14"/>
    <mergeCell ref="I13:I14"/>
    <mergeCell ref="J13:J14"/>
    <mergeCell ref="K13:K14"/>
    <mergeCell ref="L13:L14"/>
    <mergeCell ref="F16:F17"/>
    <mergeCell ref="G16:G17"/>
    <mergeCell ref="H16:H17"/>
    <mergeCell ref="G12:G14"/>
    <mergeCell ref="H12:I12"/>
    <mergeCell ref="F12:F14"/>
    <mergeCell ref="I16:I17"/>
    <mergeCell ref="A16:A17"/>
    <mergeCell ref="B16:B17"/>
    <mergeCell ref="C16:C17"/>
    <mergeCell ref="D16:D17"/>
    <mergeCell ref="E16:E17"/>
    <mergeCell ref="J16:J17"/>
    <mergeCell ref="K16:K17"/>
    <mergeCell ref="O16:O17"/>
    <mergeCell ref="M13:M14"/>
    <mergeCell ref="N13:N14"/>
  </mergeCells>
  <pageMargins left="0.39370078740157483" right="0.39370078740157483" top="0.35433070866141736" bottom="0.35433070866141736" header="0.31496062992125984" footer="0.31496062992125984"/>
  <pageSetup paperSize="9" scale="6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AC65"/>
  <sheetViews>
    <sheetView topLeftCell="A2" workbookViewId="0">
      <selection activeCell="W28" sqref="W28"/>
    </sheetView>
  </sheetViews>
  <sheetFormatPr defaultRowHeight="15"/>
  <cols>
    <col min="1" max="1" width="6.140625" customWidth="1"/>
    <col min="3" max="3" width="15.42578125" customWidth="1"/>
    <col min="8" max="8" width="12.140625" customWidth="1"/>
    <col min="9" max="9" width="13.5703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4.42578125" customWidth="1"/>
    <col min="15" max="15" width="13" customWidth="1"/>
    <col min="16" max="16" width="11.28515625" hidden="1" customWidth="1"/>
    <col min="17" max="17" width="9.140625" customWidth="1"/>
    <col min="18" max="18" width="11.7109375" customWidth="1"/>
    <col min="20" max="20" width="10" bestFit="1" customWidth="1"/>
    <col min="21" max="21" width="12.140625" style="3" customWidth="1"/>
    <col min="22" max="22" width="11.42578125" style="3" bestFit="1" customWidth="1"/>
    <col min="23" max="24" width="10" style="3" customWidth="1"/>
    <col min="25" max="25" width="11.42578125" style="3" bestFit="1" customWidth="1"/>
    <col min="27" max="27" width="9.140625" style="3"/>
    <col min="28" max="28" width="11.140625" style="3" customWidth="1"/>
  </cols>
  <sheetData>
    <row r="1" spans="1:29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U1" s="26"/>
      <c r="V1" s="26"/>
      <c r="W1" s="26"/>
      <c r="X1" s="26"/>
      <c r="Y1" s="26"/>
      <c r="AA1" s="26"/>
      <c r="AB1" s="26"/>
    </row>
    <row r="2" spans="1:29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U2" s="26"/>
      <c r="V2" s="26"/>
      <c r="W2" s="26"/>
      <c r="X2" s="26"/>
      <c r="Y2" s="26"/>
      <c r="AA2" s="26"/>
      <c r="AB2" s="26"/>
    </row>
    <row r="3" spans="1:29" s="13" customFormat="1" ht="15.75">
      <c r="A3" s="158" t="str">
        <f>'УК 3 кв. 2019г '!A4:O4</f>
        <v xml:space="preserve">по состоянию за 3 квартал 2019 года на 01 октября 2019 года 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U3" s="37"/>
      <c r="V3" s="37"/>
      <c r="W3" s="37"/>
      <c r="X3" s="37"/>
      <c r="Y3" s="37"/>
      <c r="AA3" s="37"/>
      <c r="AB3" s="37"/>
    </row>
    <row r="4" spans="1:29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  <c r="U4" s="37"/>
      <c r="V4" s="37"/>
      <c r="W4" s="37"/>
      <c r="X4" s="37"/>
      <c r="Y4" s="37"/>
      <c r="AA4" s="37"/>
      <c r="AB4" s="37"/>
    </row>
    <row r="5" spans="1:29" s="13" customFormat="1" ht="14.2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  <c r="U5" s="37"/>
      <c r="V5" s="37"/>
      <c r="W5" s="37"/>
      <c r="X5" s="37"/>
      <c r="Y5" s="37"/>
      <c r="AA5" s="37"/>
      <c r="AB5" s="37"/>
    </row>
    <row r="6" spans="1:29" s="13" customFormat="1" ht="15.75">
      <c r="A6" s="1" t="s">
        <v>7</v>
      </c>
      <c r="D6" s="18" t="s">
        <v>68</v>
      </c>
      <c r="E6" s="17"/>
      <c r="F6" s="17"/>
      <c r="G6" s="17"/>
      <c r="H6" s="17"/>
      <c r="U6" s="37"/>
      <c r="V6" s="37"/>
      <c r="W6" s="37"/>
      <c r="X6" s="37"/>
      <c r="Y6" s="37"/>
      <c r="AA6" s="37"/>
      <c r="AB6" s="37"/>
    </row>
    <row r="7" spans="1:29" s="13" customFormat="1">
      <c r="A7" s="1" t="s">
        <v>8</v>
      </c>
      <c r="U7" s="37"/>
      <c r="V7" s="37"/>
      <c r="W7" s="37"/>
      <c r="X7" s="37"/>
      <c r="Y7" s="37"/>
      <c r="AA7" s="37"/>
      <c r="AB7" s="37"/>
    </row>
    <row r="8" spans="1:29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  <c r="U8" s="37"/>
      <c r="V8" s="37"/>
      <c r="W8" s="37"/>
      <c r="X8" s="37"/>
      <c r="Y8" s="37"/>
      <c r="AA8" s="37"/>
      <c r="AB8" s="37"/>
    </row>
    <row r="9" spans="1:29" s="13" customFormat="1" ht="15.75">
      <c r="A9" s="18" t="s">
        <v>69</v>
      </c>
      <c r="U9" s="37"/>
      <c r="V9" s="37"/>
      <c r="W9" s="37"/>
      <c r="X9" s="37"/>
      <c r="Y9" s="37"/>
      <c r="AA9" s="37"/>
      <c r="AB9" s="37"/>
    </row>
    <row r="10" spans="1:29" s="13" customFormat="1" ht="15.75">
      <c r="A10" s="18" t="s">
        <v>70</v>
      </c>
      <c r="U10" s="37"/>
      <c r="V10" s="37"/>
      <c r="W10" s="37"/>
      <c r="X10" s="37"/>
      <c r="Y10" s="37"/>
      <c r="AA10" s="37"/>
      <c r="AB10" s="37"/>
    </row>
    <row r="11" spans="1:29" s="38" customFormat="1" ht="42" customHeight="1">
      <c r="A11" s="160" t="s">
        <v>10</v>
      </c>
      <c r="B11" s="205" t="s">
        <v>11</v>
      </c>
      <c r="C11" s="160" t="s">
        <v>12</v>
      </c>
      <c r="D11" s="160" t="s">
        <v>13</v>
      </c>
      <c r="E11" s="160" t="s">
        <v>14</v>
      </c>
      <c r="F11" s="160" t="s">
        <v>15</v>
      </c>
      <c r="G11" s="160" t="s">
        <v>16</v>
      </c>
      <c r="H11" s="204" t="s">
        <v>17</v>
      </c>
      <c r="I11" s="204"/>
      <c r="J11" s="204" t="s">
        <v>18</v>
      </c>
      <c r="K11" s="204"/>
      <c r="L11" s="204" t="s">
        <v>19</v>
      </c>
      <c r="M11" s="204"/>
      <c r="N11" s="204"/>
      <c r="O11" s="204" t="s">
        <v>20</v>
      </c>
      <c r="P11" s="14"/>
      <c r="Q11" s="208" t="s">
        <v>102</v>
      </c>
      <c r="U11" s="39"/>
      <c r="V11" s="39"/>
      <c r="W11" s="39"/>
      <c r="X11" s="39"/>
      <c r="Y11" s="39"/>
      <c r="AA11" s="39"/>
      <c r="AB11" s="39"/>
    </row>
    <row r="12" spans="1:29" s="38" customFormat="1" ht="12.75">
      <c r="A12" s="161"/>
      <c r="B12" s="206"/>
      <c r="C12" s="161"/>
      <c r="D12" s="161"/>
      <c r="E12" s="161"/>
      <c r="F12" s="161"/>
      <c r="G12" s="161"/>
      <c r="H12" s="204" t="s">
        <v>21</v>
      </c>
      <c r="I12" s="204" t="s">
        <v>22</v>
      </c>
      <c r="J12" s="204" t="s">
        <v>23</v>
      </c>
      <c r="K12" s="204" t="s">
        <v>24</v>
      </c>
      <c r="L12" s="204" t="s">
        <v>25</v>
      </c>
      <c r="M12" s="204" t="s">
        <v>26</v>
      </c>
      <c r="N12" s="204" t="s">
        <v>27</v>
      </c>
      <c r="O12" s="204"/>
      <c r="P12" s="14"/>
      <c r="Q12" s="209"/>
      <c r="U12" s="39"/>
      <c r="V12" s="39"/>
      <c r="W12" s="39"/>
      <c r="X12" s="39"/>
      <c r="Y12" s="39"/>
      <c r="AA12" s="39"/>
      <c r="AB12" s="39"/>
    </row>
    <row r="13" spans="1:29" s="38" customFormat="1" ht="93" customHeight="1">
      <c r="A13" s="162"/>
      <c r="B13" s="207"/>
      <c r="C13" s="162"/>
      <c r="D13" s="162"/>
      <c r="E13" s="162"/>
      <c r="F13" s="162"/>
      <c r="G13" s="162"/>
      <c r="H13" s="204"/>
      <c r="I13" s="204"/>
      <c r="J13" s="204"/>
      <c r="K13" s="204"/>
      <c r="L13" s="204"/>
      <c r="M13" s="204"/>
      <c r="N13" s="204"/>
      <c r="O13" s="204"/>
      <c r="P13" s="14"/>
      <c r="Q13" s="210"/>
      <c r="U13" s="39"/>
      <c r="V13" s="39"/>
      <c r="W13" s="39"/>
      <c r="X13" s="39"/>
      <c r="Y13" s="39"/>
      <c r="AA13" s="39"/>
      <c r="AB13" s="39"/>
    </row>
    <row r="14" spans="1:29" s="14" customFormat="1" ht="11.25">
      <c r="A14" s="51">
        <v>1</v>
      </c>
      <c r="B14" s="52">
        <v>1</v>
      </c>
      <c r="C14" s="51">
        <v>2</v>
      </c>
      <c r="D14" s="51">
        <v>3</v>
      </c>
      <c r="E14" s="51">
        <v>4</v>
      </c>
      <c r="F14" s="51">
        <v>5</v>
      </c>
      <c r="G14" s="51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3">
        <v>14</v>
      </c>
      <c r="Q14" s="54"/>
      <c r="R14" s="14" t="s">
        <v>112</v>
      </c>
      <c r="U14" s="55"/>
      <c r="V14" s="55"/>
      <c r="W14" s="55"/>
      <c r="X14" s="55"/>
      <c r="Y14" s="55" t="s">
        <v>111</v>
      </c>
      <c r="AA14" s="55"/>
      <c r="AB14" s="55"/>
    </row>
    <row r="15" spans="1:29" s="49" customFormat="1" ht="60.75" thickBot="1">
      <c r="A15" s="172">
        <v>1</v>
      </c>
      <c r="B15" s="172" t="s">
        <v>28</v>
      </c>
      <c r="C15" s="172" t="s">
        <v>29</v>
      </c>
      <c r="D15" s="172"/>
      <c r="E15" s="172"/>
      <c r="F15" s="211">
        <v>4750.3</v>
      </c>
      <c r="G15" s="172">
        <v>5.3</v>
      </c>
      <c r="H15" s="211">
        <f>353500.18+50353.18+990.66</f>
        <v>404844.01999999996</v>
      </c>
      <c r="I15" s="211">
        <f>95751.85+451.32+454.65</f>
        <v>96657.82</v>
      </c>
      <c r="J15" s="211">
        <f>'ТСЖ 2 кв.2019г '!O15+'ТСЖ 3 кв.2019г '!H15</f>
        <v>1515509.14</v>
      </c>
      <c r="K15" s="211">
        <f>'ТСЖ 2 кв.2019г '!O15+'ТСЖ 3 кв.2019г '!I15</f>
        <v>1207322.94</v>
      </c>
      <c r="L15" s="43"/>
      <c r="M15" s="66" t="s">
        <v>125</v>
      </c>
      <c r="N15" s="33">
        <v>100907.16</v>
      </c>
      <c r="O15" s="211">
        <f>K15-N15-N16</f>
        <v>1016415.78</v>
      </c>
      <c r="P15" s="44">
        <v>520817.08</v>
      </c>
      <c r="Q15" s="216">
        <f>K15/J15*100</f>
        <v>79.664510634360155</v>
      </c>
      <c r="R15" s="56">
        <f>J15-K15+AC15</f>
        <v>333362.78999999998</v>
      </c>
      <c r="U15" s="48"/>
      <c r="V15" s="48">
        <f>'ТСЖ 1 кв.2019г'!J15-'ТСЖ 1 кв.2019г'!N15+1036.27</f>
        <v>1387674.98</v>
      </c>
      <c r="W15" s="48">
        <f>75529.77</f>
        <v>75529.77</v>
      </c>
      <c r="X15" s="48">
        <v>960.55</v>
      </c>
      <c r="Y15" s="48">
        <v>336658.59</v>
      </c>
      <c r="AA15" s="50">
        <f>F15*G15*3</f>
        <v>75529.77</v>
      </c>
      <c r="AB15" s="50">
        <f>AA15-W15</f>
        <v>0</v>
      </c>
      <c r="AC15" s="48">
        <f>W15/3</f>
        <v>25176.59</v>
      </c>
    </row>
    <row r="16" spans="1:29" s="49" customFormat="1" ht="60.75" thickBot="1">
      <c r="A16" s="173"/>
      <c r="B16" s="173"/>
      <c r="C16" s="173"/>
      <c r="D16" s="173"/>
      <c r="E16" s="173"/>
      <c r="F16" s="212"/>
      <c r="G16" s="173"/>
      <c r="H16" s="212"/>
      <c r="I16" s="212"/>
      <c r="J16" s="212"/>
      <c r="K16" s="212"/>
      <c r="L16" s="43">
        <v>43684</v>
      </c>
      <c r="M16" s="66" t="s">
        <v>126</v>
      </c>
      <c r="N16" s="33">
        <v>90000</v>
      </c>
      <c r="O16" s="212"/>
      <c r="P16" s="44"/>
      <c r="Q16" s="215"/>
      <c r="R16" s="56"/>
      <c r="U16" s="48"/>
      <c r="V16" s="48"/>
      <c r="W16" s="48"/>
      <c r="X16" s="48"/>
      <c r="Y16" s="48"/>
      <c r="AA16" s="50"/>
      <c r="AB16" s="50"/>
      <c r="AC16" s="48"/>
    </row>
    <row r="17" spans="1:29" s="49" customFormat="1" ht="60.75" thickBot="1">
      <c r="A17" s="172">
        <v>1</v>
      </c>
      <c r="B17" s="172" t="s">
        <v>28</v>
      </c>
      <c r="C17" s="172" t="s">
        <v>30</v>
      </c>
      <c r="D17" s="172"/>
      <c r="E17" s="172"/>
      <c r="F17" s="211">
        <v>1908.8</v>
      </c>
      <c r="G17" s="172">
        <v>5.3</v>
      </c>
      <c r="H17" s="211">
        <f>82331.78+20233.28+259.08</f>
        <v>102824.14</v>
      </c>
      <c r="I17" s="211">
        <v>71605.600000000006</v>
      </c>
      <c r="J17" s="211">
        <f>'ТСЖ 2 кв.2019г '!O16+'ТСЖ 3 кв.2019г '!H17:H18</f>
        <v>607778.55999999994</v>
      </c>
      <c r="K17" s="211">
        <f>'ТСЖ 2 кв.2019г '!O16+'ТСЖ 3 кв.2019г '!I17</f>
        <v>576560.02</v>
      </c>
      <c r="L17" s="43"/>
      <c r="M17" s="66" t="s">
        <v>127</v>
      </c>
      <c r="N17" s="33">
        <v>24536.65</v>
      </c>
      <c r="O17" s="211">
        <f>K17-N17-N18</f>
        <v>522023.37</v>
      </c>
      <c r="P17" s="44">
        <v>264064.82</v>
      </c>
      <c r="Q17" s="216">
        <f>K17/J17*100</f>
        <v>94.863500943501549</v>
      </c>
      <c r="R17" s="56">
        <f t="shared" ref="R17:R28" si="0">J17-K17+AC17</f>
        <v>41335.17999999992</v>
      </c>
      <c r="U17" s="48"/>
      <c r="V17" s="48">
        <f>'ТСЖ 1 кв.2019г'!J16-'ТСЖ 1 кв.2019г'!N16-4.54</f>
        <v>556682.47</v>
      </c>
      <c r="W17" s="48">
        <f>30349.92</f>
        <v>30349.919999999998</v>
      </c>
      <c r="X17" s="48">
        <v>253.81</v>
      </c>
      <c r="Y17" s="48">
        <v>80571.75</v>
      </c>
      <c r="AA17" s="50">
        <f t="shared" ref="AA17:AA28" si="1">F17*G17*3</f>
        <v>30349.919999999998</v>
      </c>
      <c r="AB17" s="50">
        <f t="shared" ref="AB17:AB28" si="2">AA17-W17</f>
        <v>0</v>
      </c>
      <c r="AC17" s="48">
        <f t="shared" ref="AC17:AC28" si="3">W17/3</f>
        <v>10116.64</v>
      </c>
    </row>
    <row r="18" spans="1:29" s="49" customFormat="1" ht="60.75" thickBot="1">
      <c r="A18" s="173"/>
      <c r="B18" s="173"/>
      <c r="C18" s="173"/>
      <c r="D18" s="173"/>
      <c r="E18" s="173"/>
      <c r="F18" s="212"/>
      <c r="G18" s="173"/>
      <c r="H18" s="212"/>
      <c r="I18" s="212"/>
      <c r="J18" s="212"/>
      <c r="K18" s="212"/>
      <c r="L18" s="43">
        <v>43684</v>
      </c>
      <c r="M18" s="66" t="s">
        <v>128</v>
      </c>
      <c r="N18" s="33">
        <v>30000</v>
      </c>
      <c r="O18" s="212"/>
      <c r="P18" s="44"/>
      <c r="Q18" s="215"/>
      <c r="R18" s="56"/>
      <c r="U18" s="48"/>
      <c r="V18" s="48"/>
      <c r="W18" s="48"/>
      <c r="X18" s="48"/>
      <c r="Y18" s="48"/>
      <c r="AA18" s="50"/>
      <c r="AB18" s="50"/>
      <c r="AC18" s="48"/>
    </row>
    <row r="19" spans="1:29" s="49" customFormat="1" ht="60.75" thickBot="1">
      <c r="A19" s="172">
        <v>1</v>
      </c>
      <c r="B19" s="172" t="s">
        <v>28</v>
      </c>
      <c r="C19" s="172" t="s">
        <v>72</v>
      </c>
      <c r="D19" s="172"/>
      <c r="E19" s="172"/>
      <c r="F19" s="211">
        <v>1947.3</v>
      </c>
      <c r="G19" s="172">
        <v>5.3</v>
      </c>
      <c r="H19" s="211">
        <f>144066.11+20641.38+356.15</f>
        <v>165063.63999999998</v>
      </c>
      <c r="I19" s="211">
        <v>39683.440000000002</v>
      </c>
      <c r="J19" s="211">
        <f>'ТСЖ 2 кв.2019г '!O26+H19</f>
        <v>371505.1</v>
      </c>
      <c r="K19" s="211">
        <f>'ТСЖ 2 кв.2019г '!O26+'ТСЖ 3 кв.2019г '!I19:I20</f>
        <v>246124.9</v>
      </c>
      <c r="L19" s="43">
        <v>43602</v>
      </c>
      <c r="M19" s="66" t="s">
        <v>129</v>
      </c>
      <c r="N19" s="33">
        <v>203000</v>
      </c>
      <c r="O19" s="211">
        <f>K19-N19-N20</f>
        <v>36524.899999999994</v>
      </c>
      <c r="P19" s="44">
        <v>253163.82</v>
      </c>
      <c r="Q19" s="216">
        <f>K19/J19*100</f>
        <v>66.250745952074425</v>
      </c>
      <c r="R19" s="56">
        <f>J19-K19+AC19</f>
        <v>135700.88999999998</v>
      </c>
      <c r="U19" s="48"/>
      <c r="V19" s="48">
        <f>'ТСЖ 1 кв.2019г'!J26-'ТСЖ 1 кв.2019г'!N26-4.72</f>
        <v>319111.56</v>
      </c>
      <c r="W19" s="48">
        <f>30962.07</f>
        <v>30962.07</v>
      </c>
      <c r="X19" s="48">
        <v>433.94</v>
      </c>
      <c r="Y19" s="48">
        <v>156069.04</v>
      </c>
      <c r="AA19" s="50">
        <f>F19*G19*3</f>
        <v>30962.069999999996</v>
      </c>
      <c r="AB19" s="50">
        <f>AA19-W19</f>
        <v>0</v>
      </c>
      <c r="AC19" s="48">
        <f>W19/3</f>
        <v>10320.69</v>
      </c>
    </row>
    <row r="20" spans="1:29" s="49" customFormat="1" ht="60.75" thickBot="1">
      <c r="A20" s="173"/>
      <c r="B20" s="173"/>
      <c r="C20" s="173"/>
      <c r="D20" s="173"/>
      <c r="E20" s="173"/>
      <c r="F20" s="212"/>
      <c r="G20" s="173"/>
      <c r="H20" s="212"/>
      <c r="I20" s="212"/>
      <c r="J20" s="212"/>
      <c r="K20" s="212"/>
      <c r="L20" s="43"/>
      <c r="M20" s="66" t="s">
        <v>130</v>
      </c>
      <c r="N20" s="33">
        <v>6600</v>
      </c>
      <c r="O20" s="212"/>
      <c r="P20" s="44"/>
      <c r="Q20" s="215"/>
      <c r="R20" s="56"/>
      <c r="U20" s="48"/>
      <c r="V20" s="48"/>
      <c r="W20" s="48"/>
      <c r="X20" s="48"/>
      <c r="Y20" s="48"/>
      <c r="AA20" s="50"/>
      <c r="AB20" s="50"/>
      <c r="AC20" s="48"/>
    </row>
    <row r="21" spans="1:29" s="49" customFormat="1" ht="63.75" customHeight="1" thickBot="1">
      <c r="A21" s="32">
        <v>1</v>
      </c>
      <c r="B21" s="32" t="s">
        <v>28</v>
      </c>
      <c r="C21" s="32" t="s">
        <v>71</v>
      </c>
      <c r="D21" s="32"/>
      <c r="E21" s="32"/>
      <c r="F21" s="33">
        <v>2983.5</v>
      </c>
      <c r="G21" s="32">
        <v>5.3</v>
      </c>
      <c r="H21" s="33">
        <f>232763.44+31625.1+731.29</f>
        <v>265119.82999999996</v>
      </c>
      <c r="I21" s="33">
        <v>62138.55</v>
      </c>
      <c r="J21" s="33">
        <f>'ТСЖ 2 кв.2019г '!O17+H21</f>
        <v>498971.02999999997</v>
      </c>
      <c r="K21" s="33">
        <f>'ТСЖ 2 кв.2019г '!O17+'ТСЖ 3 кв.2019г '!I21</f>
        <v>295989.75</v>
      </c>
      <c r="L21" s="43">
        <v>43700</v>
      </c>
      <c r="M21" s="66" t="s">
        <v>132</v>
      </c>
      <c r="N21" s="33">
        <v>60000</v>
      </c>
      <c r="O21" s="33">
        <f t="shared" ref="O21:O25" si="4">K21-N21</f>
        <v>235989.75</v>
      </c>
      <c r="P21" s="44">
        <v>378042.71</v>
      </c>
      <c r="Q21" s="46">
        <f t="shared" ref="Q21:Q28" si="5">K21/J21*100</f>
        <v>59.320027056480619</v>
      </c>
      <c r="R21" s="56">
        <f t="shared" si="0"/>
        <v>218793.82999999996</v>
      </c>
      <c r="U21" s="48"/>
      <c r="V21" s="48">
        <f>'ТСЖ 1 кв.2019г'!J17-'ТСЖ 1 кв.2019г'!N17-0.09</f>
        <v>418545.47999999992</v>
      </c>
      <c r="W21" s="48">
        <f>47437.65</f>
        <v>47437.65</v>
      </c>
      <c r="X21" s="48">
        <v>631.51</v>
      </c>
      <c r="Y21" s="48">
        <v>212272.38</v>
      </c>
      <c r="AA21" s="50">
        <f>F21*G21*3</f>
        <v>47437.649999999994</v>
      </c>
      <c r="AB21" s="50">
        <f>AA21-W21</f>
        <v>0</v>
      </c>
      <c r="AC21" s="48">
        <f t="shared" si="3"/>
        <v>15812.550000000001</v>
      </c>
    </row>
    <row r="22" spans="1:29" s="49" customFormat="1" ht="60.75" thickBot="1">
      <c r="A22" s="32">
        <v>1</v>
      </c>
      <c r="B22" s="32" t="s">
        <v>28</v>
      </c>
      <c r="C22" s="32" t="s">
        <v>73</v>
      </c>
      <c r="D22" s="32"/>
      <c r="E22" s="32"/>
      <c r="F22" s="33">
        <v>1699.9</v>
      </c>
      <c r="G22" s="32">
        <v>5.3</v>
      </c>
      <c r="H22" s="33">
        <f>107659.02+18016.82+268.37</f>
        <v>125944.20999999999</v>
      </c>
      <c r="I22" s="33">
        <v>22031.31</v>
      </c>
      <c r="J22" s="33">
        <f>'ТСЖ 2 кв.2019г '!O27+H22</f>
        <v>331474.55000000005</v>
      </c>
      <c r="K22" s="33">
        <f>'ТСЖ 2 кв.2019г '!O27+'ТСЖ 3 кв.2019г '!I22</f>
        <v>227561.65000000002</v>
      </c>
      <c r="L22" s="43">
        <v>43700</v>
      </c>
      <c r="M22" s="66" t="s">
        <v>133</v>
      </c>
      <c r="N22" s="33">
        <v>20000</v>
      </c>
      <c r="O22" s="33">
        <f>K22-N22</f>
        <v>207561.65000000002</v>
      </c>
      <c r="P22" s="44">
        <v>252978.03</v>
      </c>
      <c r="Q22" s="46">
        <f>K22/J22*100</f>
        <v>68.651318781487149</v>
      </c>
      <c r="R22" s="56">
        <f>J22-K22+AC22</f>
        <v>112922.37000000002</v>
      </c>
      <c r="U22" s="48"/>
      <c r="V22" s="48">
        <f>'ТСЖ 1 кв.2019г'!J27-'ТСЖ 1 кв.2019г'!N27</f>
        <v>285901.51</v>
      </c>
      <c r="W22" s="48">
        <f>27028.41</f>
        <v>27028.41</v>
      </c>
      <c r="X22" s="48">
        <v>259.44</v>
      </c>
      <c r="Y22" s="48">
        <v>107140.17</v>
      </c>
      <c r="AA22" s="50">
        <f>F22*G22*3</f>
        <v>27028.409999999996</v>
      </c>
      <c r="AB22" s="50">
        <f>AA22-W22</f>
        <v>0</v>
      </c>
      <c r="AC22" s="48">
        <f>W22/3</f>
        <v>9009.4699999999993</v>
      </c>
    </row>
    <row r="23" spans="1:29" s="49" customFormat="1" ht="72.75" customHeight="1" thickBot="1">
      <c r="A23" s="172"/>
      <c r="B23" s="172" t="s">
        <v>28</v>
      </c>
      <c r="C23" s="172" t="s">
        <v>35</v>
      </c>
      <c r="D23" s="172"/>
      <c r="E23" s="172"/>
      <c r="F23" s="211">
        <v>1189</v>
      </c>
      <c r="G23" s="172">
        <v>5.3</v>
      </c>
      <c r="H23" s="211">
        <f>118586.59+12603.4+199.42</f>
        <v>131389.41</v>
      </c>
      <c r="I23" s="211">
        <v>38498.49</v>
      </c>
      <c r="J23" s="211">
        <f>'ТСЖ 2 кв.2019г '!O21+H23</f>
        <v>379112.56000000006</v>
      </c>
      <c r="K23" s="211">
        <f>'ТСЖ 2 кв.2019г '!O21+'ТСЖ 3 кв.2019г '!I23</f>
        <v>286221.64</v>
      </c>
      <c r="L23" s="43"/>
      <c r="M23" s="66" t="s">
        <v>134</v>
      </c>
      <c r="N23" s="33">
        <v>20431.2</v>
      </c>
      <c r="O23" s="211">
        <f>K23-N23-N24</f>
        <v>235790.44</v>
      </c>
      <c r="P23" s="44">
        <v>124839.69</v>
      </c>
      <c r="Q23" s="216">
        <f t="shared" si="5"/>
        <v>75.497799387073854</v>
      </c>
      <c r="R23" s="56">
        <f t="shared" si="0"/>
        <v>99192.620000000039</v>
      </c>
      <c r="U23" s="48"/>
      <c r="V23" s="48">
        <f>'ТСЖ 1 кв.2019г'!J21-'ТСЖ 1 кв.2019г'!N21+10</f>
        <v>347191.09</v>
      </c>
      <c r="W23" s="48">
        <f>18905.1</f>
        <v>18905.099999999999</v>
      </c>
      <c r="X23" s="48">
        <v>213.55</v>
      </c>
      <c r="Y23" s="48">
        <v>112356.79</v>
      </c>
      <c r="AA23" s="50">
        <f t="shared" si="1"/>
        <v>18905.099999999999</v>
      </c>
      <c r="AB23" s="50">
        <f t="shared" si="2"/>
        <v>0</v>
      </c>
      <c r="AC23" s="48">
        <f t="shared" si="3"/>
        <v>6301.7</v>
      </c>
    </row>
    <row r="24" spans="1:29" s="49" customFormat="1" ht="72.75" thickBot="1">
      <c r="A24" s="173"/>
      <c r="B24" s="173"/>
      <c r="C24" s="173"/>
      <c r="D24" s="173"/>
      <c r="E24" s="173"/>
      <c r="F24" s="212"/>
      <c r="G24" s="173"/>
      <c r="H24" s="212"/>
      <c r="I24" s="212"/>
      <c r="J24" s="212"/>
      <c r="K24" s="212"/>
      <c r="L24" s="43">
        <v>43679</v>
      </c>
      <c r="M24" s="66" t="s">
        <v>135</v>
      </c>
      <c r="N24" s="33">
        <v>30000</v>
      </c>
      <c r="O24" s="212"/>
      <c r="P24" s="44"/>
      <c r="Q24" s="215"/>
      <c r="R24" s="56"/>
      <c r="U24" s="48"/>
      <c r="V24" s="48"/>
      <c r="W24" s="48"/>
      <c r="X24" s="48"/>
      <c r="Y24" s="48"/>
      <c r="AA24" s="50"/>
      <c r="AB24" s="50"/>
      <c r="AC24" s="48"/>
    </row>
    <row r="25" spans="1:29" s="49" customFormat="1" ht="45.75" thickBot="1">
      <c r="A25" s="32">
        <v>1</v>
      </c>
      <c r="B25" s="32" t="s">
        <v>28</v>
      </c>
      <c r="C25" s="32" t="s">
        <v>36</v>
      </c>
      <c r="D25" s="32"/>
      <c r="E25" s="32"/>
      <c r="F25" s="33">
        <v>2428.02</v>
      </c>
      <c r="G25" s="32">
        <v>5.3</v>
      </c>
      <c r="H25" s="33">
        <f>98394.15+25737.02+292.5</f>
        <v>124423.67</v>
      </c>
      <c r="I25" s="33">
        <v>31844.5</v>
      </c>
      <c r="J25" s="33">
        <f>'ТСЖ 2 кв.2019г '!O22+H25</f>
        <v>768121.08000000007</v>
      </c>
      <c r="K25" s="33">
        <f>'ТСЖ 2 кв.2019г '!O22+'ТСЖ 3 кв.2019г '!I25</f>
        <v>675541.91</v>
      </c>
      <c r="L25" s="43"/>
      <c r="M25" s="33"/>
      <c r="N25" s="33"/>
      <c r="O25" s="33">
        <f t="shared" si="4"/>
        <v>675541.91</v>
      </c>
      <c r="P25" s="44">
        <v>388089.32</v>
      </c>
      <c r="Q25" s="46">
        <f t="shared" si="5"/>
        <v>87.947320753129176</v>
      </c>
      <c r="R25" s="56">
        <f t="shared" si="0"/>
        <v>105447.68000000004</v>
      </c>
      <c r="U25" s="48"/>
      <c r="V25" s="48">
        <f>'ТСЖ 1 кв.2019г'!J22-'ТСЖ 1 кв.2019г'!N22+25135.59</f>
        <v>703171.62</v>
      </c>
      <c r="W25" s="48">
        <f>38605.53</f>
        <v>38605.53</v>
      </c>
      <c r="X25" s="48">
        <v>314.41000000000003</v>
      </c>
      <c r="Y25" s="48">
        <v>89927.87</v>
      </c>
      <c r="AA25" s="50">
        <f t="shared" si="1"/>
        <v>38605.517999999996</v>
      </c>
      <c r="AB25" s="50">
        <f t="shared" si="2"/>
        <v>-1.2000000002444722E-2</v>
      </c>
      <c r="AC25" s="48">
        <f t="shared" si="3"/>
        <v>12868.51</v>
      </c>
    </row>
    <row r="26" spans="1:29" s="49" customFormat="1" ht="72" customHeight="1" thickBot="1">
      <c r="A26" s="172"/>
      <c r="B26" s="172" t="s">
        <v>28</v>
      </c>
      <c r="C26" s="172" t="s">
        <v>75</v>
      </c>
      <c r="D26" s="172"/>
      <c r="E26" s="172"/>
      <c r="F26" s="172">
        <v>2085.9</v>
      </c>
      <c r="G26" s="172">
        <v>5.3</v>
      </c>
      <c r="H26" s="211">
        <f>93212.66+22025.74+367.58</f>
        <v>115605.98000000001</v>
      </c>
      <c r="I26" s="211">
        <v>54913.42</v>
      </c>
      <c r="J26" s="211">
        <f>'ТСЖ 2 кв.2019г '!O29+H26</f>
        <v>662188.30000000005</v>
      </c>
      <c r="K26" s="211">
        <f>'ТСЖ 2 кв.2019г '!O29+I26</f>
        <v>601495.74000000011</v>
      </c>
      <c r="L26" s="43"/>
      <c r="M26" s="66" t="s">
        <v>136</v>
      </c>
      <c r="N26" s="33">
        <v>52887.44</v>
      </c>
      <c r="O26" s="211">
        <f>K26-N26-N27</f>
        <v>488608.30000000005</v>
      </c>
      <c r="P26" s="44">
        <v>223464.31</v>
      </c>
      <c r="Q26" s="216">
        <f>K26/J26*100</f>
        <v>90.834546608570406</v>
      </c>
      <c r="R26" s="56">
        <f>J26-K26+AC26</f>
        <v>71747.829999999944</v>
      </c>
      <c r="U26" s="48"/>
      <c r="V26" s="48">
        <f>'ТСЖ 1 кв.2019г'!J29-'ТСЖ 1 кв.2019г'!N29-84.8</f>
        <v>606240.77999999991</v>
      </c>
      <c r="W26" s="48">
        <f>33165.81</f>
        <v>33165.81</v>
      </c>
      <c r="X26" s="48">
        <v>388.39</v>
      </c>
      <c r="Y26" s="48">
        <v>83988.42</v>
      </c>
      <c r="AA26" s="50">
        <f>F26*G26*3</f>
        <v>33165.81</v>
      </c>
      <c r="AB26" s="50">
        <f>AA26-W26</f>
        <v>0</v>
      </c>
      <c r="AC26" s="48">
        <f>W26/3</f>
        <v>11055.269999999999</v>
      </c>
    </row>
    <row r="27" spans="1:29" s="49" customFormat="1" ht="60.75" thickBot="1">
      <c r="A27" s="173"/>
      <c r="B27" s="173"/>
      <c r="C27" s="173"/>
      <c r="D27" s="173"/>
      <c r="E27" s="173"/>
      <c r="F27" s="173"/>
      <c r="G27" s="173"/>
      <c r="H27" s="212"/>
      <c r="I27" s="212"/>
      <c r="J27" s="212"/>
      <c r="K27" s="212"/>
      <c r="L27" s="43">
        <v>43700</v>
      </c>
      <c r="M27" s="66" t="s">
        <v>137</v>
      </c>
      <c r="N27" s="33">
        <v>60000</v>
      </c>
      <c r="O27" s="212"/>
      <c r="P27" s="44"/>
      <c r="Q27" s="215"/>
      <c r="R27" s="56"/>
      <c r="U27" s="48"/>
      <c r="V27" s="48"/>
      <c r="W27" s="48"/>
      <c r="X27" s="48"/>
      <c r="Y27" s="48"/>
      <c r="AA27" s="50"/>
      <c r="AB27" s="50"/>
      <c r="AC27" s="48"/>
    </row>
    <row r="28" spans="1:29" s="49" customFormat="1" ht="66.75" customHeight="1" thickBot="1">
      <c r="A28" s="172"/>
      <c r="B28" s="172" t="s">
        <v>28</v>
      </c>
      <c r="C28" s="172" t="s">
        <v>74</v>
      </c>
      <c r="D28" s="172"/>
      <c r="E28" s="172"/>
      <c r="F28" s="211">
        <v>2087.9</v>
      </c>
      <c r="G28" s="172">
        <v>5.3</v>
      </c>
      <c r="H28" s="211">
        <f>75488.47+22131.74+213.08</f>
        <v>97833.290000000008</v>
      </c>
      <c r="I28" s="211">
        <v>25344.53</v>
      </c>
      <c r="J28" s="211">
        <f>'ТСЖ 2 кв.2019г '!O28+H28</f>
        <v>665864.13</v>
      </c>
      <c r="K28" s="211">
        <f>'ТСЖ 2 кв.2019г '!O28+'ТСЖ 3 кв.2019г '!I28</f>
        <v>593375.37</v>
      </c>
      <c r="L28" s="43">
        <v>43707</v>
      </c>
      <c r="M28" s="66" t="s">
        <v>139</v>
      </c>
      <c r="N28" s="33">
        <v>176291.47</v>
      </c>
      <c r="O28" s="211">
        <f>K28-N28-N29</f>
        <v>357083.9</v>
      </c>
      <c r="P28" s="44">
        <v>243907.98</v>
      </c>
      <c r="Q28" s="216">
        <f t="shared" si="5"/>
        <v>89.113580874224297</v>
      </c>
      <c r="R28" s="56">
        <f t="shared" si="0"/>
        <v>83554.63</v>
      </c>
      <c r="U28" s="48"/>
      <c r="V28" s="48">
        <f>'ТСЖ 1 кв.2019г'!J28-'ТСЖ 1 кв.2019г'!N28</f>
        <v>610099.89</v>
      </c>
      <c r="W28" s="48">
        <f>33197.61</f>
        <v>33197.61</v>
      </c>
      <c r="X28" s="48">
        <v>221.81</v>
      </c>
      <c r="Y28" s="48">
        <v>97980.62</v>
      </c>
      <c r="AA28" s="50">
        <f t="shared" si="1"/>
        <v>33197.61</v>
      </c>
      <c r="AB28" s="50">
        <f t="shared" si="2"/>
        <v>0</v>
      </c>
      <c r="AC28" s="48">
        <f t="shared" si="3"/>
        <v>11065.87</v>
      </c>
    </row>
    <row r="29" spans="1:29" s="49" customFormat="1" ht="60.75" thickBot="1">
      <c r="A29" s="173"/>
      <c r="B29" s="173"/>
      <c r="C29" s="173"/>
      <c r="D29" s="173"/>
      <c r="E29" s="173"/>
      <c r="F29" s="212"/>
      <c r="G29" s="173"/>
      <c r="H29" s="212"/>
      <c r="I29" s="212"/>
      <c r="J29" s="212"/>
      <c r="K29" s="212"/>
      <c r="L29" s="43">
        <v>43700</v>
      </c>
      <c r="M29" s="66" t="s">
        <v>138</v>
      </c>
      <c r="N29" s="33">
        <v>60000</v>
      </c>
      <c r="O29" s="212"/>
      <c r="P29" s="44"/>
      <c r="Q29" s="215"/>
      <c r="R29" s="56"/>
      <c r="U29" s="48"/>
      <c r="V29" s="48"/>
      <c r="W29" s="48"/>
      <c r="X29" s="48"/>
      <c r="Y29" s="48"/>
      <c r="AA29" s="50"/>
      <c r="AB29" s="50"/>
      <c r="AC29" s="48"/>
    </row>
    <row r="30" spans="1:29" s="49" customFormat="1" ht="45.75" thickBot="1">
      <c r="A30" s="32">
        <v>2</v>
      </c>
      <c r="B30" s="32" t="s">
        <v>28</v>
      </c>
      <c r="C30" s="32" t="s">
        <v>34</v>
      </c>
      <c r="D30" s="32"/>
      <c r="E30" s="32"/>
      <c r="F30" s="33">
        <v>2823.8</v>
      </c>
      <c r="G30" s="32">
        <v>5.3</v>
      </c>
      <c r="H30" s="33">
        <f>161020.99+29932.28+379.68</f>
        <v>191332.94999999998</v>
      </c>
      <c r="I30" s="33">
        <v>83605.710000000006</v>
      </c>
      <c r="J30" s="33">
        <f>'ТСЖ 2 кв.2019г '!O20+H30</f>
        <v>775095.17999999993</v>
      </c>
      <c r="K30" s="33">
        <f>'ТСЖ 2 кв.2019г '!O20+'ТСЖ 3 кв.2019г '!I30</f>
        <v>667367.93999999994</v>
      </c>
      <c r="L30" s="43"/>
      <c r="M30" s="33"/>
      <c r="N30" s="33"/>
      <c r="O30" s="33">
        <f t="shared" ref="O30:O35" si="6">K30-N30</f>
        <v>667367.93999999994</v>
      </c>
      <c r="P30" s="44">
        <v>420551</v>
      </c>
      <c r="Q30" s="46">
        <f t="shared" ref="Q30:Q34" si="7">K30/J30*100</f>
        <v>86.101417892961223</v>
      </c>
      <c r="R30" s="56">
        <f t="shared" ref="R30:R35" si="8">J30-K30+AC30</f>
        <v>122693.37999999999</v>
      </c>
      <c r="U30" s="48"/>
      <c r="V30" s="48">
        <f>'ТСЖ 1 кв.2019г'!J20-'ТСЖ 1 кв.2019г'!N20+19.18</f>
        <v>699485.66999999993</v>
      </c>
      <c r="W30" s="48">
        <f>44898.42</f>
        <v>44898.42</v>
      </c>
      <c r="X30" s="48">
        <v>399.13</v>
      </c>
      <c r="Y30" s="48">
        <v>160749.49</v>
      </c>
      <c r="AA30" s="50">
        <f t="shared" ref="AA30:AA35" si="9">F30*G30*3</f>
        <v>44898.420000000006</v>
      </c>
      <c r="AB30" s="50">
        <f t="shared" ref="AB30:AB35" si="10">AA30-W30</f>
        <v>0</v>
      </c>
      <c r="AC30" s="48">
        <f t="shared" ref="AC30:AC35" si="11">W30/3</f>
        <v>14966.14</v>
      </c>
    </row>
    <row r="31" spans="1:29" s="49" customFormat="1" ht="60.75" thickBot="1">
      <c r="A31" s="32"/>
      <c r="B31" s="32" t="s">
        <v>37</v>
      </c>
      <c r="C31" s="32" t="s">
        <v>38</v>
      </c>
      <c r="D31" s="32"/>
      <c r="E31" s="32"/>
      <c r="F31" s="33">
        <v>1135</v>
      </c>
      <c r="G31" s="32">
        <v>5.3</v>
      </c>
      <c r="H31" s="33">
        <f>42530.15+12031+127.5</f>
        <v>54688.65</v>
      </c>
      <c r="I31" s="33">
        <v>17428.830000000002</v>
      </c>
      <c r="J31" s="33">
        <f>'ТСЖ 2 кв.2019г '!O23+H31</f>
        <v>132637.25</v>
      </c>
      <c r="K31" s="33">
        <f>'ТСЖ 2 кв.2019г '!O23+'ТСЖ 3 кв.2019г '!I31</f>
        <v>95377.430000000008</v>
      </c>
      <c r="L31" s="43">
        <v>43700</v>
      </c>
      <c r="M31" s="66" t="s">
        <v>143</v>
      </c>
      <c r="N31" s="33">
        <v>20000</v>
      </c>
      <c r="O31" s="33">
        <f t="shared" si="6"/>
        <v>75377.430000000008</v>
      </c>
      <c r="P31" s="44">
        <v>146097.04999999999</v>
      </c>
      <c r="Q31" s="46">
        <f t="shared" si="7"/>
        <v>71.90847970686967</v>
      </c>
      <c r="R31" s="56">
        <f t="shared" si="8"/>
        <v>43275.319999999992</v>
      </c>
      <c r="U31" s="48"/>
      <c r="V31" s="48">
        <f>'ТСЖ 1 кв.2019г'!J23-'ТСЖ 1 кв.2019г'!N23+202.67</f>
        <v>102310.45</v>
      </c>
      <c r="W31" s="48">
        <f>18046.5</f>
        <v>18046.5</v>
      </c>
      <c r="X31" s="48">
        <v>121.79</v>
      </c>
      <c r="Y31" s="48">
        <v>49101.18</v>
      </c>
      <c r="AA31" s="50">
        <f t="shared" si="9"/>
        <v>18046.5</v>
      </c>
      <c r="AB31" s="50">
        <f t="shared" si="10"/>
        <v>0</v>
      </c>
      <c r="AC31" s="48">
        <f t="shared" si="11"/>
        <v>6015.5</v>
      </c>
    </row>
    <row r="32" spans="1:29" s="49" customFormat="1" ht="45.75" thickBot="1">
      <c r="A32" s="32">
        <v>3</v>
      </c>
      <c r="B32" s="32" t="s">
        <v>37</v>
      </c>
      <c r="C32" s="32" t="s">
        <v>40</v>
      </c>
      <c r="D32" s="32"/>
      <c r="E32" s="32"/>
      <c r="F32" s="33">
        <v>2119.3000000000002</v>
      </c>
      <c r="G32" s="32">
        <v>5.3</v>
      </c>
      <c r="H32" s="33">
        <f>157607.19+22464.58+412.75</f>
        <v>180484.52000000002</v>
      </c>
      <c r="I32" s="33">
        <v>62907.38</v>
      </c>
      <c r="J32" s="33">
        <f>'ТСЖ 2 кв.2019г '!O24+H32</f>
        <v>220130.65</v>
      </c>
      <c r="K32" s="33">
        <f>'ТСЖ 2 кв.2019г '!O24+'ТСЖ 3 кв.2019г '!I32+0.2</f>
        <v>102553.70999999998</v>
      </c>
      <c r="L32" s="43"/>
      <c r="M32" s="33"/>
      <c r="N32" s="33"/>
      <c r="O32" s="33">
        <f t="shared" si="6"/>
        <v>102553.70999999998</v>
      </c>
      <c r="P32" s="44">
        <v>235115.53</v>
      </c>
      <c r="Q32" s="46">
        <f t="shared" si="7"/>
        <v>46.587656012463498</v>
      </c>
      <c r="R32" s="56">
        <f t="shared" si="8"/>
        <v>128809.23000000001</v>
      </c>
      <c r="S32" s="49" t="s">
        <v>113</v>
      </c>
      <c r="U32" s="56">
        <v>110000</v>
      </c>
      <c r="V32" s="48">
        <f>('ТСЖ 1 кв.2019г'!J24-'ТСЖ 1 кв.2019г'!N24)-U32</f>
        <v>53173.06</v>
      </c>
      <c r="W32" s="48">
        <f>33696.87</f>
        <v>33696.870000000003</v>
      </c>
      <c r="X32" s="48">
        <v>383.59</v>
      </c>
      <c r="Y32" s="48">
        <v>158920.45000000001</v>
      </c>
      <c r="Z32" s="48"/>
      <c r="AA32" s="50">
        <f t="shared" si="9"/>
        <v>33696.870000000003</v>
      </c>
      <c r="AB32" s="50">
        <f t="shared" si="10"/>
        <v>0</v>
      </c>
      <c r="AC32" s="48">
        <f t="shared" si="11"/>
        <v>11232.29</v>
      </c>
    </row>
    <row r="33" spans="1:29" s="49" customFormat="1" ht="60.75" thickBot="1">
      <c r="A33" s="32"/>
      <c r="B33" s="32" t="s">
        <v>28</v>
      </c>
      <c r="C33" s="32" t="s">
        <v>42</v>
      </c>
      <c r="D33" s="32"/>
      <c r="E33" s="32"/>
      <c r="F33" s="33">
        <v>2094.4</v>
      </c>
      <c r="G33" s="32">
        <v>5.3</v>
      </c>
      <c r="H33" s="33">
        <f>98338.63+22200.64+238.03</f>
        <v>120777.3</v>
      </c>
      <c r="I33" s="33">
        <v>43990.79</v>
      </c>
      <c r="J33" s="33">
        <f>'ТСЖ 2 кв.2019г '!O25+H33</f>
        <v>215259.81</v>
      </c>
      <c r="K33" s="33">
        <f>'ТСЖ 2 кв.2019г '!O25+'ТСЖ 3 кв.2019г '!I33</f>
        <v>138473.30000000002</v>
      </c>
      <c r="L33" s="43"/>
      <c r="M33" s="66" t="s">
        <v>145</v>
      </c>
      <c r="N33" s="33">
        <v>6600</v>
      </c>
      <c r="O33" s="33">
        <f t="shared" si="6"/>
        <v>131873.30000000002</v>
      </c>
      <c r="P33" s="44">
        <v>287247.24</v>
      </c>
      <c r="Q33" s="46">
        <f t="shared" si="7"/>
        <v>64.32845035029996</v>
      </c>
      <c r="R33" s="56">
        <f t="shared" si="8"/>
        <v>87886.829999999987</v>
      </c>
      <c r="U33" s="48"/>
      <c r="V33" s="48">
        <f>'ТСЖ 1 кв.2019г'!J25-'ТСЖ 1 кв.2019г'!N25-0.33</f>
        <v>159264.87000000002</v>
      </c>
      <c r="W33" s="48">
        <f>33300.96</f>
        <v>33300.959999999999</v>
      </c>
      <c r="X33" s="48">
        <v>255.31</v>
      </c>
      <c r="Y33" s="48">
        <v>105943.24</v>
      </c>
      <c r="AA33" s="50">
        <f t="shared" si="9"/>
        <v>33300.959999999999</v>
      </c>
      <c r="AB33" s="50">
        <f t="shared" si="10"/>
        <v>0</v>
      </c>
      <c r="AC33" s="48">
        <f t="shared" si="11"/>
        <v>11100.32</v>
      </c>
    </row>
    <row r="34" spans="1:29" s="49" customFormat="1" ht="45.75" thickBot="1">
      <c r="A34" s="32">
        <v>4</v>
      </c>
      <c r="B34" s="32" t="s">
        <v>28</v>
      </c>
      <c r="C34" s="32" t="s">
        <v>31</v>
      </c>
      <c r="D34" s="32"/>
      <c r="E34" s="32"/>
      <c r="F34" s="33">
        <v>3225.6</v>
      </c>
      <c r="G34" s="32">
        <v>5.3</v>
      </c>
      <c r="H34" s="33">
        <f>248437.73+34191.36+636.2-7.95</f>
        <v>283257.34000000003</v>
      </c>
      <c r="I34" s="33">
        <v>50697.88</v>
      </c>
      <c r="J34" s="33">
        <f>'ТСЖ 2 кв.2019г '!O18+H34</f>
        <v>478917.55000000005</v>
      </c>
      <c r="K34" s="33">
        <f>'ТСЖ 2 кв.2019г '!O18+'ТСЖ 3 кв.2019г '!I34</f>
        <v>246358.09000000003</v>
      </c>
      <c r="L34" s="43"/>
      <c r="M34" s="33"/>
      <c r="N34" s="33"/>
      <c r="O34" s="33">
        <f t="shared" si="6"/>
        <v>246358.09000000003</v>
      </c>
      <c r="P34" s="44">
        <v>354498.41</v>
      </c>
      <c r="Q34" s="46">
        <f t="shared" si="7"/>
        <v>51.440606008278458</v>
      </c>
      <c r="R34" s="56">
        <f t="shared" si="8"/>
        <v>249655.14</v>
      </c>
      <c r="S34" s="49" t="s">
        <v>113</v>
      </c>
      <c r="U34" s="48">
        <v>50000</v>
      </c>
      <c r="V34" s="48">
        <f>'ТСЖ 1 кв.2019г'!J18-'ТСЖ 1 кв.2019г'!N18+95348-U34</f>
        <v>342221.27</v>
      </c>
      <c r="W34" s="48">
        <f>51287.04</f>
        <v>51287.040000000001</v>
      </c>
      <c r="X34" s="48">
        <v>589.63</v>
      </c>
      <c r="Y34" s="48">
        <v>276115.55</v>
      </c>
      <c r="AA34" s="50">
        <f t="shared" si="9"/>
        <v>51287.040000000001</v>
      </c>
      <c r="AB34" s="50">
        <f t="shared" si="10"/>
        <v>0</v>
      </c>
      <c r="AC34" s="48">
        <f t="shared" si="11"/>
        <v>17095.68</v>
      </c>
    </row>
    <row r="35" spans="1:29" s="49" customFormat="1" ht="72.75" thickBot="1">
      <c r="A35" s="32">
        <v>5</v>
      </c>
      <c r="B35" s="32" t="s">
        <v>28</v>
      </c>
      <c r="C35" s="32" t="s">
        <v>33</v>
      </c>
      <c r="D35" s="32"/>
      <c r="E35" s="32"/>
      <c r="F35" s="33">
        <v>2135.5</v>
      </c>
      <c r="G35" s="32">
        <v>5.3</v>
      </c>
      <c r="H35" s="33">
        <f>152511.53+22636.3+382.42</f>
        <v>175530.25</v>
      </c>
      <c r="I35" s="33">
        <v>70692.570000000007</v>
      </c>
      <c r="J35" s="33">
        <f>'ТСЖ 2 кв.2019г '!O19+H35</f>
        <v>270845.09000000003</v>
      </c>
      <c r="K35" s="33">
        <f>'ТСЖ 2 кв.2019г '!O19+'ТСЖ 3 кв.2019г '!I35</f>
        <v>166007.41000000003</v>
      </c>
      <c r="L35" s="43">
        <v>43396</v>
      </c>
      <c r="M35" s="66" t="s">
        <v>148</v>
      </c>
      <c r="N35" s="33">
        <v>136266.22</v>
      </c>
      <c r="O35" s="33">
        <f t="shared" si="6"/>
        <v>29741.190000000031</v>
      </c>
      <c r="P35" s="44">
        <v>309141.18</v>
      </c>
      <c r="Q35" s="46">
        <f>K35/J35*100</f>
        <v>61.292383037108046</v>
      </c>
      <c r="R35" s="56">
        <f t="shared" si="8"/>
        <v>116155.82999999999</v>
      </c>
      <c r="S35" s="57" t="s">
        <v>113</v>
      </c>
      <c r="T35" s="57"/>
      <c r="U35" s="56">
        <v>50000</v>
      </c>
      <c r="V35" s="48">
        <f>'ТСЖ 1 кв.2019г'!J19-'ТСЖ 1 кв.2019г'!N19+86716.99-U35</f>
        <v>163493.34</v>
      </c>
      <c r="W35" s="48">
        <f>33954.45</f>
        <v>33954.449999999997</v>
      </c>
      <c r="X35" s="48">
        <v>378.57</v>
      </c>
      <c r="Y35" s="48">
        <v>143983.28</v>
      </c>
      <c r="AA35" s="50">
        <f t="shared" si="9"/>
        <v>33954.449999999997</v>
      </c>
      <c r="AB35" s="50">
        <f t="shared" si="10"/>
        <v>0</v>
      </c>
      <c r="AC35" s="48">
        <f t="shared" si="11"/>
        <v>11318.15</v>
      </c>
    </row>
    <row r="36" spans="1:29">
      <c r="A36" s="2"/>
      <c r="R36" s="3">
        <f>SUM(R15:R28)</f>
        <v>1202057.8199999998</v>
      </c>
      <c r="S36" s="3">
        <f>SUM(S15:S28)</f>
        <v>0</v>
      </c>
      <c r="T36" s="3">
        <f>SUM(T15:T28)</f>
        <v>0</v>
      </c>
      <c r="U36" s="3">
        <f>SUM(U15:U28)</f>
        <v>0</v>
      </c>
      <c r="W36" s="3">
        <f>SUM(W15:W28)</f>
        <v>335181.87</v>
      </c>
      <c r="X36" s="3">
        <f>SUM(X15:X28)</f>
        <v>3677.41</v>
      </c>
      <c r="Y36" s="3">
        <f>SUM(Y15:Y28)</f>
        <v>1276965.6299999999</v>
      </c>
    </row>
    <row r="37" spans="1:29" ht="15.75">
      <c r="A37" s="4" t="s">
        <v>76</v>
      </c>
      <c r="C37" s="17" t="s">
        <v>150</v>
      </c>
      <c r="D37" s="17"/>
      <c r="E37" s="17"/>
      <c r="F37" s="17"/>
      <c r="G37" s="17"/>
      <c r="H37" s="17"/>
      <c r="I37" s="26"/>
      <c r="U37" s="3">
        <f>R36+U36</f>
        <v>1202057.8199999998</v>
      </c>
      <c r="W37" s="3">
        <f>550366.11</f>
        <v>550366.11</v>
      </c>
    </row>
    <row r="38" spans="1:29" ht="15.75">
      <c r="A38" s="2"/>
      <c r="C38" s="203" t="s">
        <v>149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29" ht="15.75">
      <c r="A39" s="2"/>
      <c r="C39" s="203" t="s">
        <v>131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W39" s="3">
        <f>W36-W37</f>
        <v>-215184.24</v>
      </c>
    </row>
    <row r="40" spans="1:29" ht="15.75">
      <c r="A40" s="2"/>
      <c r="C40" s="203" t="s">
        <v>144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29" ht="15.75">
      <c r="A41" s="2"/>
      <c r="C41" s="203" t="s">
        <v>146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29" ht="15.75">
      <c r="A42" s="2"/>
      <c r="C42" s="203" t="s">
        <v>147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29" ht="15.75">
      <c r="A43" s="2"/>
      <c r="C43" s="203" t="s">
        <v>140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29" ht="15.75">
      <c r="A44" s="2"/>
      <c r="C44" s="203" t="s">
        <v>141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29" ht="15.75">
      <c r="A45" s="2"/>
      <c r="C45" s="203" t="s">
        <v>142</v>
      </c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29" s="27" customFormat="1" ht="15.75">
      <c r="A46" s="4" t="str">
        <f>'УК 3 кв. 2019г '!A29</f>
        <v xml:space="preserve"> « 04 » октября 2019г.</v>
      </c>
      <c r="I46" s="28"/>
      <c r="U46" s="28"/>
      <c r="V46" s="28"/>
      <c r="W46" s="28"/>
      <c r="X46" s="28"/>
      <c r="Y46" s="28"/>
      <c r="AA46" s="28"/>
      <c r="AB46" s="28"/>
    </row>
    <row r="47" spans="1:29" s="27" customFormat="1" ht="15.75">
      <c r="A47" s="4"/>
      <c r="I47" s="28"/>
      <c r="U47" s="28"/>
      <c r="V47" s="28"/>
      <c r="W47" s="28"/>
      <c r="X47" s="28"/>
      <c r="Y47" s="28"/>
      <c r="AA47" s="28"/>
      <c r="AB47" s="28"/>
    </row>
    <row r="48" spans="1:29" s="27" customFormat="1" ht="15.75">
      <c r="A48" s="4"/>
      <c r="I48" s="28"/>
      <c r="U48" s="28"/>
      <c r="V48" s="28"/>
      <c r="W48" s="28"/>
      <c r="X48" s="28"/>
      <c r="Y48" s="28"/>
      <c r="AA48" s="28"/>
      <c r="AB48" s="28"/>
    </row>
    <row r="49" spans="1:28" s="27" customFormat="1" ht="15.75">
      <c r="A49" s="4" t="s">
        <v>47</v>
      </c>
      <c r="I49" s="28"/>
      <c r="U49" s="28"/>
      <c r="V49" s="28"/>
      <c r="W49" s="28"/>
      <c r="X49" s="28"/>
      <c r="Y49" s="28"/>
      <c r="AA49" s="28"/>
      <c r="AB49" s="28"/>
    </row>
    <row r="50" spans="1:28" s="27" customFormat="1" ht="15.75">
      <c r="A50" s="30" t="s">
        <v>48</v>
      </c>
      <c r="I50" s="28"/>
      <c r="U50" s="28"/>
      <c r="V50" s="28"/>
      <c r="W50" s="28"/>
      <c r="X50" s="28"/>
      <c r="Y50" s="28"/>
      <c r="AA50" s="28"/>
      <c r="AB50" s="28"/>
    </row>
    <row r="51" spans="1:28">
      <c r="A51" s="1"/>
    </row>
    <row r="52" spans="1:28">
      <c r="A52" s="1"/>
      <c r="K52" s="3"/>
    </row>
    <row r="53" spans="1:28">
      <c r="A53" s="1"/>
    </row>
    <row r="54" spans="1:28">
      <c r="A54" s="1"/>
    </row>
    <row r="55" spans="1:28">
      <c r="A55" s="1"/>
    </row>
    <row r="56" spans="1:28">
      <c r="A56" s="1"/>
    </row>
    <row r="57" spans="1:28">
      <c r="A57" s="1"/>
    </row>
    <row r="58" spans="1:28">
      <c r="A58" s="1"/>
    </row>
    <row r="59" spans="1:28">
      <c r="A59" s="1"/>
    </row>
    <row r="60" spans="1:28">
      <c r="A60" s="1"/>
    </row>
    <row r="61" spans="1:28">
      <c r="A61" s="1"/>
    </row>
    <row r="62" spans="1:28">
      <c r="A62" s="1"/>
    </row>
    <row r="63" spans="1:28">
      <c r="A63" s="1"/>
    </row>
    <row r="64" spans="1:28">
      <c r="A64" s="1"/>
    </row>
    <row r="65" spans="1:1">
      <c r="A65" s="1"/>
    </row>
  </sheetData>
  <mergeCells count="110">
    <mergeCell ref="A1:O1"/>
    <mergeCell ref="A2:O2"/>
    <mergeCell ref="A3:O3"/>
    <mergeCell ref="D5:M5"/>
    <mergeCell ref="D8:L8"/>
    <mergeCell ref="A11:A13"/>
    <mergeCell ref="B11:B13"/>
    <mergeCell ref="C11:C13"/>
    <mergeCell ref="D11:D13"/>
    <mergeCell ref="E11:E13"/>
    <mergeCell ref="A15:A16"/>
    <mergeCell ref="B15:B16"/>
    <mergeCell ref="C15:C16"/>
    <mergeCell ref="D15:D16"/>
    <mergeCell ref="E15:E16"/>
    <mergeCell ref="F15:F16"/>
    <mergeCell ref="G15:G16"/>
    <mergeCell ref="H15:H16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  <mergeCell ref="I15:I16"/>
    <mergeCell ref="J15:J16"/>
    <mergeCell ref="K15:K16"/>
    <mergeCell ref="O15:O16"/>
    <mergeCell ref="Q15:Q16"/>
    <mergeCell ref="C42:O42"/>
    <mergeCell ref="I17:I18"/>
    <mergeCell ref="J17:J18"/>
    <mergeCell ref="K17:K18"/>
    <mergeCell ref="O17:O18"/>
    <mergeCell ref="C39:O39"/>
    <mergeCell ref="C38:O38"/>
    <mergeCell ref="J19:J20"/>
    <mergeCell ref="K19:K20"/>
    <mergeCell ref="O19:O20"/>
    <mergeCell ref="Q19:Q20"/>
    <mergeCell ref="Q17:Q18"/>
    <mergeCell ref="I23:I24"/>
    <mergeCell ref="J23:J24"/>
    <mergeCell ref="K23:K24"/>
    <mergeCell ref="O23:O24"/>
    <mergeCell ref="Q23:Q24"/>
    <mergeCell ref="G26:G27"/>
    <mergeCell ref="H26:H27"/>
    <mergeCell ref="I26:I2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C45:O45"/>
    <mergeCell ref="Q28:Q29"/>
    <mergeCell ref="G28:G29"/>
    <mergeCell ref="H28:H29"/>
    <mergeCell ref="I28:I29"/>
    <mergeCell ref="J28:J29"/>
    <mergeCell ref="K28:K29"/>
    <mergeCell ref="O28:O29"/>
    <mergeCell ref="A17:A18"/>
    <mergeCell ref="B17:B18"/>
    <mergeCell ref="C17:C18"/>
    <mergeCell ref="D17:D18"/>
    <mergeCell ref="E17:E18"/>
    <mergeCell ref="F17:F18"/>
    <mergeCell ref="G17:G18"/>
    <mergeCell ref="H17:H18"/>
    <mergeCell ref="A23:A24"/>
    <mergeCell ref="B23:B24"/>
    <mergeCell ref="C23:C24"/>
    <mergeCell ref="D23:D24"/>
    <mergeCell ref="E23:E24"/>
    <mergeCell ref="F23:F24"/>
    <mergeCell ref="G23:G24"/>
    <mergeCell ref="H23:H24"/>
    <mergeCell ref="C43:O43"/>
    <mergeCell ref="C44:O44"/>
    <mergeCell ref="J26:J27"/>
    <mergeCell ref="K26:K27"/>
    <mergeCell ref="O26:O27"/>
    <mergeCell ref="Q26:Q27"/>
    <mergeCell ref="C41:O41"/>
    <mergeCell ref="C40:O40"/>
    <mergeCell ref="A28:A29"/>
    <mergeCell ref="B28:B29"/>
    <mergeCell ref="C28:C29"/>
    <mergeCell ref="D28:D29"/>
    <mergeCell ref="E28:E29"/>
    <mergeCell ref="F28:F29"/>
    <mergeCell ref="A26:A27"/>
    <mergeCell ref="B26:B27"/>
    <mergeCell ref="C26:C27"/>
    <mergeCell ref="F26:F27"/>
    <mergeCell ref="D26:D27"/>
    <mergeCell ref="E26:E27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0"/>
  <sheetViews>
    <sheetView tabSelected="1" topLeftCell="A14" zoomScaleNormal="100" workbookViewId="0">
      <selection activeCell="H25" sqref="H25"/>
    </sheetView>
  </sheetViews>
  <sheetFormatPr defaultColWidth="9.140625" defaultRowHeight="15"/>
  <cols>
    <col min="1" max="1" width="7.42578125" style="13" customWidth="1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hidden="1" customWidth="1"/>
    <col min="19" max="19" width="13.5703125" style="13" hidden="1" customWidth="1"/>
    <col min="20" max="20" width="0" style="13" hidden="1" customWidth="1"/>
    <col min="21" max="21" width="10" style="13" hidden="1" customWidth="1"/>
    <col min="22" max="22" width="10.42578125" style="13" hidden="1" customWidth="1"/>
    <col min="23" max="24" width="0" style="13" hidden="1" customWidth="1"/>
    <col min="25" max="25" width="11.42578125" style="3" hidden="1" customWidth="1"/>
    <col min="26" max="26" width="9.28515625" style="3" hidden="1" customWidth="1"/>
    <col min="27" max="28" width="0" hidden="1" customWidth="1"/>
    <col min="29" max="29" width="12.28515625" hidden="1" customWidth="1"/>
    <col min="30" max="30" width="0" style="13" hidden="1" customWidth="1"/>
    <col min="31" max="16384" width="9.140625" style="13"/>
  </cols>
  <sheetData>
    <row r="1" spans="1:29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Y1" s="26"/>
      <c r="Z1" s="26"/>
      <c r="AA1" s="17"/>
      <c r="AB1" s="17"/>
      <c r="AC1" s="17"/>
    </row>
    <row r="2" spans="1:29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Y2" s="26"/>
      <c r="Z2" s="26"/>
    </row>
    <row r="3" spans="1:29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  <c r="Y3" s="37"/>
      <c r="Z3" s="37"/>
      <c r="AA3" s="13"/>
      <c r="AB3" s="13"/>
      <c r="AC3" s="13"/>
    </row>
    <row r="4" spans="1:29" ht="15.75">
      <c r="A4" s="158" t="s">
        <v>480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Y4" s="37"/>
      <c r="Z4" s="37"/>
      <c r="AA4" s="13"/>
      <c r="AB4" s="13"/>
      <c r="AC4" s="13"/>
    </row>
    <row r="5" spans="1:29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  <c r="Y5" s="37"/>
      <c r="Z5" s="37"/>
      <c r="AA5" s="13"/>
      <c r="AB5" s="13"/>
      <c r="AC5" s="13"/>
    </row>
    <row r="6" spans="1:29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  <c r="Y6" s="37"/>
      <c r="Z6" s="37"/>
      <c r="AA6" s="13"/>
      <c r="AB6" s="13"/>
      <c r="AC6" s="13"/>
    </row>
    <row r="7" spans="1:29" ht="15.75">
      <c r="A7" s="1" t="s">
        <v>7</v>
      </c>
      <c r="D7" s="18" t="s">
        <v>51</v>
      </c>
      <c r="E7" s="17"/>
      <c r="F7" s="17"/>
      <c r="G7" s="17"/>
      <c r="H7" s="17"/>
      <c r="Y7" s="37"/>
      <c r="Z7" s="37"/>
      <c r="AA7" s="13"/>
      <c r="AB7" s="13"/>
      <c r="AC7" s="13"/>
    </row>
    <row r="8" spans="1:29">
      <c r="A8" s="1" t="s">
        <v>8</v>
      </c>
      <c r="Y8" s="37"/>
      <c r="Z8" s="37"/>
      <c r="AA8" s="13"/>
      <c r="AB8" s="13"/>
      <c r="AC8" s="13"/>
    </row>
    <row r="9" spans="1:29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  <c r="Y9" s="37"/>
      <c r="Z9" s="37"/>
      <c r="AA9" s="13"/>
      <c r="AB9" s="13"/>
      <c r="AC9" s="13"/>
    </row>
    <row r="10" spans="1:29" ht="15.75">
      <c r="A10" s="18" t="s">
        <v>61</v>
      </c>
      <c r="Y10" s="37"/>
      <c r="Z10" s="37"/>
      <c r="AA10" s="13"/>
      <c r="AB10" s="13"/>
      <c r="AC10" s="13"/>
    </row>
    <row r="11" spans="1:29" ht="15.75">
      <c r="A11" s="18" t="s">
        <v>62</v>
      </c>
      <c r="Y11" s="39"/>
      <c r="Z11" s="39"/>
      <c r="AA11" s="38"/>
      <c r="AB11" s="38"/>
      <c r="AC11" s="38"/>
    </row>
    <row r="12" spans="1:29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  <c r="Y12" s="39"/>
      <c r="Z12" s="39"/>
      <c r="AA12" s="38"/>
      <c r="AB12" s="38"/>
      <c r="AC12" s="38"/>
    </row>
    <row r="13" spans="1:29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  <c r="Y13" s="39"/>
      <c r="Z13" s="39"/>
      <c r="AA13" s="38"/>
      <c r="AB13" s="38"/>
      <c r="AC13" s="38"/>
    </row>
    <row r="14" spans="1:29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  <c r="Y14" s="39" t="s">
        <v>388</v>
      </c>
      <c r="Z14" s="39" t="s">
        <v>427</v>
      </c>
      <c r="AA14" s="14" t="s">
        <v>451</v>
      </c>
      <c r="AB14" s="14" t="s">
        <v>453</v>
      </c>
      <c r="AC14" s="14"/>
    </row>
    <row r="15" spans="1:29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  <c r="Y15" s="48"/>
      <c r="Z15" s="48"/>
      <c r="AA15" s="49"/>
      <c r="AB15" s="49"/>
      <c r="AC15" s="49"/>
    </row>
    <row r="16" spans="1:29" s="15" customFormat="1" ht="30.75" customHeight="1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7.34</v>
      </c>
      <c r="H16" s="33">
        <v>464145.64999999991</v>
      </c>
      <c r="I16" s="33">
        <v>177345.36000000002</v>
      </c>
      <c r="J16" s="33">
        <v>6627344.4399999985</v>
      </c>
      <c r="K16" s="33">
        <v>6421320.8400000008</v>
      </c>
      <c r="L16" s="64"/>
      <c r="M16" s="47"/>
      <c r="N16" s="33">
        <v>894970.86</v>
      </c>
      <c r="O16" s="33">
        <v>5526349.9800000004</v>
      </c>
      <c r="P16" s="110">
        <v>96.891309907532161</v>
      </c>
      <c r="R16" s="19">
        <f>J16-K16</f>
        <v>206023.59999999776</v>
      </c>
      <c r="S16" s="19">
        <f>H16-I16</f>
        <v>286800.28999999992</v>
      </c>
      <c r="V16" s="129">
        <v>205171.32</v>
      </c>
      <c r="W16" s="129">
        <v>4684.03</v>
      </c>
      <c r="X16" s="130"/>
      <c r="Y16" s="129">
        <v>177160.54</v>
      </c>
      <c r="Z16" s="129">
        <v>184.82</v>
      </c>
      <c r="AA16" s="48"/>
      <c r="AB16" s="48"/>
      <c r="AC16" s="49">
        <f>F16*G16*3</f>
        <v>205171.34999999998</v>
      </c>
    </row>
    <row r="17" spans="1:29" s="15" customFormat="1" ht="37.5" customHeight="1">
      <c r="A17" s="32">
        <v>2</v>
      </c>
      <c r="B17" s="32" t="s">
        <v>28</v>
      </c>
      <c r="C17" s="103" t="s">
        <v>406</v>
      </c>
      <c r="D17" s="32">
        <v>2011</v>
      </c>
      <c r="E17" s="32"/>
      <c r="F17" s="33">
        <v>3083.8</v>
      </c>
      <c r="G17" s="32">
        <v>10.36</v>
      </c>
      <c r="H17" s="33">
        <v>191333.11000000016</v>
      </c>
      <c r="I17" s="33">
        <v>102220.43</v>
      </c>
      <c r="J17" s="33">
        <v>2271262.9300000002</v>
      </c>
      <c r="K17" s="33">
        <v>2182150.25</v>
      </c>
      <c r="L17" s="32"/>
      <c r="M17" s="32"/>
      <c r="N17" s="33">
        <v>0</v>
      </c>
      <c r="O17" s="33">
        <v>2182150.25</v>
      </c>
      <c r="P17" s="110">
        <v>96.076514135683965</v>
      </c>
      <c r="R17" s="19">
        <f>J17-K17</f>
        <v>89112.680000000168</v>
      </c>
      <c r="S17" s="19">
        <f>H17-I17</f>
        <v>89112.680000000168</v>
      </c>
      <c r="V17" s="129">
        <v>96055.83</v>
      </c>
      <c r="W17" s="129">
        <v>3226.01</v>
      </c>
      <c r="X17" s="130"/>
      <c r="Y17" s="129">
        <v>100289.79</v>
      </c>
      <c r="Z17" s="131">
        <v>1930.64</v>
      </c>
      <c r="AA17" s="48"/>
      <c r="AB17" s="48"/>
      <c r="AC17" s="49">
        <f>F17*G17*3</f>
        <v>95844.504000000001</v>
      </c>
    </row>
    <row r="18" spans="1:29" s="15" customFormat="1" ht="42" customHeight="1">
      <c r="A18" s="32">
        <v>3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10.36</v>
      </c>
      <c r="H18" s="33">
        <v>545793.40000000014</v>
      </c>
      <c r="I18" s="33">
        <v>59252.800000000003</v>
      </c>
      <c r="J18" s="33">
        <v>2547526.4699999997</v>
      </c>
      <c r="K18" s="33">
        <v>2060985.87</v>
      </c>
      <c r="L18" s="34"/>
      <c r="M18" s="89"/>
      <c r="N18" s="33">
        <v>2029985.99</v>
      </c>
      <c r="O18" s="33">
        <v>30999.880000000121</v>
      </c>
      <c r="P18" s="110">
        <v>80.901450653032867</v>
      </c>
      <c r="R18" s="19">
        <f>J18-K18</f>
        <v>486540.59999999963</v>
      </c>
      <c r="S18" s="19">
        <f>H18-I18</f>
        <v>486540.60000000015</v>
      </c>
      <c r="V18" s="129">
        <v>78234.600000000006</v>
      </c>
      <c r="W18" s="129">
        <v>8778.92</v>
      </c>
      <c r="X18" s="130"/>
      <c r="Y18" s="129">
        <v>58384.44</v>
      </c>
      <c r="Z18" s="129">
        <v>868.36</v>
      </c>
      <c r="AA18" s="48"/>
      <c r="AB18" s="48"/>
      <c r="AC18" s="49">
        <f t="shared" ref="AC18:AC25" si="0">F18*G18*3</f>
        <v>78234.575999999986</v>
      </c>
    </row>
    <row r="19" spans="1:29" s="15" customFormat="1" ht="68.25" customHeight="1">
      <c r="A19" s="32"/>
      <c r="B19" s="32"/>
      <c r="C19" s="103"/>
      <c r="D19" s="32"/>
      <c r="E19" s="32"/>
      <c r="F19" s="33"/>
      <c r="G19" s="32"/>
      <c r="H19" s="33"/>
      <c r="I19" s="33"/>
      <c r="J19" s="33"/>
      <c r="K19" s="33"/>
      <c r="L19" s="147">
        <v>45714</v>
      </c>
      <c r="M19" s="89" t="s">
        <v>470</v>
      </c>
      <c r="N19" s="33">
        <v>28252.92</v>
      </c>
      <c r="O19" s="33"/>
      <c r="P19" s="110"/>
      <c r="R19" s="19"/>
      <c r="S19" s="19"/>
      <c r="V19" s="129"/>
      <c r="W19" s="129"/>
      <c r="X19" s="130"/>
      <c r="Y19" s="129"/>
      <c r="Z19" s="129"/>
      <c r="AA19" s="48"/>
      <c r="AB19" s="48"/>
      <c r="AC19" s="49"/>
    </row>
    <row r="20" spans="1:29" s="15" customFormat="1" ht="33" customHeight="1">
      <c r="A20" s="32">
        <v>4</v>
      </c>
      <c r="B20" s="32" t="s">
        <v>28</v>
      </c>
      <c r="C20" s="103" t="s">
        <v>408</v>
      </c>
      <c r="D20" s="32">
        <v>2012</v>
      </c>
      <c r="E20" s="32"/>
      <c r="F20" s="33">
        <v>2729.9</v>
      </c>
      <c r="G20" s="32">
        <v>10.36</v>
      </c>
      <c r="H20" s="33">
        <v>376460.72999999992</v>
      </c>
      <c r="I20" s="33">
        <v>148294.54999999999</v>
      </c>
      <c r="J20" s="33">
        <v>2772578.9099999997</v>
      </c>
      <c r="K20" s="33">
        <v>2544412.7299999995</v>
      </c>
      <c r="L20" s="43"/>
      <c r="M20" s="91"/>
      <c r="N20" s="33">
        <v>2489857.61</v>
      </c>
      <c r="O20" s="33">
        <v>54555.119999999646</v>
      </c>
      <c r="P20" s="120">
        <v>91.770615466450323</v>
      </c>
      <c r="R20" s="19">
        <f>J20-K20</f>
        <v>228166.18000000017</v>
      </c>
      <c r="S20" s="19">
        <f t="shared" ref="S20:S25" si="1">H20-I20</f>
        <v>228166.17999999993</v>
      </c>
      <c r="U20" s="19"/>
      <c r="V20" s="129">
        <v>84845.19</v>
      </c>
      <c r="W20" s="129">
        <v>7511.09</v>
      </c>
      <c r="X20" s="130"/>
      <c r="Y20" s="129">
        <v>145397.60999999999</v>
      </c>
      <c r="Z20" s="131">
        <v>2896.94</v>
      </c>
      <c r="AA20" s="48"/>
      <c r="AB20" s="48"/>
      <c r="AC20" s="49">
        <f t="shared" si="0"/>
        <v>84845.292000000001</v>
      </c>
    </row>
    <row r="21" spans="1:29" s="15" customFormat="1" ht="68.25" customHeight="1">
      <c r="A21" s="32"/>
      <c r="B21" s="32"/>
      <c r="C21" s="103"/>
      <c r="D21" s="32"/>
      <c r="E21" s="32"/>
      <c r="F21" s="33"/>
      <c r="G21" s="32"/>
      <c r="H21" s="33"/>
      <c r="I21" s="33"/>
      <c r="J21" s="33"/>
      <c r="K21" s="33"/>
      <c r="L21" s="147">
        <v>45714</v>
      </c>
      <c r="M21" s="89" t="s">
        <v>469</v>
      </c>
      <c r="N21" s="33">
        <v>103938.4</v>
      </c>
      <c r="O21" s="33"/>
      <c r="P21" s="110"/>
      <c r="R21" s="19"/>
      <c r="S21" s="19"/>
      <c r="V21" s="129"/>
      <c r="W21" s="129"/>
      <c r="X21" s="130"/>
      <c r="Y21" s="129"/>
      <c r="Z21" s="129"/>
      <c r="AA21" s="48"/>
      <c r="AB21" s="48"/>
      <c r="AC21" s="49"/>
    </row>
    <row r="22" spans="1:29" ht="35.25" customHeight="1">
      <c r="A22" s="32">
        <v>5</v>
      </c>
      <c r="B22" s="32" t="s">
        <v>28</v>
      </c>
      <c r="C22" s="103" t="s">
        <v>409</v>
      </c>
      <c r="D22" s="32">
        <v>2007</v>
      </c>
      <c r="E22" s="32"/>
      <c r="F22" s="33">
        <v>2918.7</v>
      </c>
      <c r="G22" s="32">
        <v>10.36</v>
      </c>
      <c r="H22" s="33">
        <v>113625.77999999996</v>
      </c>
      <c r="I22" s="33">
        <v>125831.97</v>
      </c>
      <c r="J22" s="33">
        <v>2955736.4199999995</v>
      </c>
      <c r="K22" s="33">
        <v>2714606.0800000005</v>
      </c>
      <c r="L22" s="32"/>
      <c r="M22" s="32"/>
      <c r="N22" s="33">
        <v>650595</v>
      </c>
      <c r="O22" s="33">
        <v>2064011.0800000005</v>
      </c>
      <c r="P22" s="120">
        <v>91.841953891138957</v>
      </c>
      <c r="R22" s="19">
        <f>J22-K22</f>
        <v>241130.33999999892</v>
      </c>
      <c r="S22" s="19">
        <f t="shared" si="1"/>
        <v>-12206.190000000046</v>
      </c>
      <c r="V22" s="129">
        <v>90713.13</v>
      </c>
      <c r="W22" s="129">
        <v>7629.77</v>
      </c>
      <c r="X22" s="130"/>
      <c r="Y22" s="129">
        <v>125687.24</v>
      </c>
      <c r="Z22" s="131">
        <v>144.72999999999999</v>
      </c>
      <c r="AA22" s="48"/>
      <c r="AB22" s="48"/>
      <c r="AC22" s="49">
        <f t="shared" si="0"/>
        <v>90713.195999999996</v>
      </c>
    </row>
    <row r="23" spans="1:29" ht="35.25" customHeight="1">
      <c r="A23" s="32">
        <v>6</v>
      </c>
      <c r="B23" s="32" t="s">
        <v>28</v>
      </c>
      <c r="C23" s="103" t="s">
        <v>410</v>
      </c>
      <c r="D23" s="32">
        <v>2018</v>
      </c>
      <c r="E23" s="32"/>
      <c r="F23" s="33">
        <v>4764.6000000000004</v>
      </c>
      <c r="G23" s="32">
        <v>10.36</v>
      </c>
      <c r="H23" s="33">
        <v>392165.88999999984</v>
      </c>
      <c r="I23" s="33">
        <v>148030.79999999999</v>
      </c>
      <c r="J23" s="33">
        <v>2157034.3400000003</v>
      </c>
      <c r="K23" s="33">
        <v>1902202.3</v>
      </c>
      <c r="L23" s="32"/>
      <c r="M23" s="32"/>
      <c r="N23" s="33">
        <v>0</v>
      </c>
      <c r="O23" s="33">
        <v>1902202.3</v>
      </c>
      <c r="P23" s="120">
        <v>88.185999857563672</v>
      </c>
      <c r="R23" s="19">
        <f t="shared" ref="R23:R25" si="2">J23-K23</f>
        <v>254832.04000000027</v>
      </c>
      <c r="S23" s="19">
        <f t="shared" si="1"/>
        <v>244135.08999999985</v>
      </c>
      <c r="V23" s="129">
        <v>148073.78</v>
      </c>
      <c r="W23" s="129">
        <v>8277.02</v>
      </c>
      <c r="X23" s="131"/>
      <c r="Y23" s="129">
        <v>142976.25</v>
      </c>
      <c r="Z23" s="129">
        <v>5054.55</v>
      </c>
      <c r="AA23" s="48"/>
      <c r="AB23" s="48"/>
      <c r="AC23" s="49">
        <f t="shared" si="0"/>
        <v>148083.76800000001</v>
      </c>
    </row>
    <row r="24" spans="1:29" ht="35.25" customHeight="1">
      <c r="A24" s="32">
        <v>7</v>
      </c>
      <c r="B24" s="32" t="s">
        <v>28</v>
      </c>
      <c r="C24" s="103" t="s">
        <v>411</v>
      </c>
      <c r="D24" s="32">
        <v>2007</v>
      </c>
      <c r="E24" s="32"/>
      <c r="F24" s="33">
        <v>1202.9000000000001</v>
      </c>
      <c r="G24" s="32">
        <v>7.34</v>
      </c>
      <c r="H24" s="33">
        <v>149203.55999999994</v>
      </c>
      <c r="I24" s="33">
        <v>20806.97</v>
      </c>
      <c r="J24" s="33">
        <v>853065.08000000031</v>
      </c>
      <c r="K24" s="33">
        <v>738299.34</v>
      </c>
      <c r="L24" s="32"/>
      <c r="M24" s="32"/>
      <c r="N24" s="33">
        <v>0</v>
      </c>
      <c r="O24" s="33">
        <v>738299.34</v>
      </c>
      <c r="P24" s="120">
        <v>86.546660660403504</v>
      </c>
      <c r="R24" s="19">
        <f t="shared" si="2"/>
        <v>114765.74000000034</v>
      </c>
      <c r="S24" s="19">
        <f t="shared" si="1"/>
        <v>128396.58999999994</v>
      </c>
      <c r="V24" s="129">
        <v>26487.9</v>
      </c>
      <c r="W24" s="129">
        <f>3628.48+661.36</f>
        <v>4289.84</v>
      </c>
      <c r="X24" s="130"/>
      <c r="Y24" s="129">
        <v>17817.84</v>
      </c>
      <c r="Z24" s="130">
        <v>2989.13</v>
      </c>
      <c r="AA24" s="48"/>
      <c r="AB24" s="48"/>
      <c r="AC24" s="49">
        <f t="shared" si="0"/>
        <v>26487.858</v>
      </c>
    </row>
    <row r="25" spans="1:29" ht="35.25" customHeight="1">
      <c r="A25" s="32">
        <v>8</v>
      </c>
      <c r="B25" s="32" t="s">
        <v>28</v>
      </c>
      <c r="C25" s="103" t="s">
        <v>412</v>
      </c>
      <c r="D25" s="32">
        <v>2006</v>
      </c>
      <c r="E25" s="32"/>
      <c r="F25" s="33">
        <v>1201.8</v>
      </c>
      <c r="G25" s="32">
        <v>7.34</v>
      </c>
      <c r="H25" s="33">
        <v>49570.829999999987</v>
      </c>
      <c r="I25" s="33">
        <v>24422.530000000002</v>
      </c>
      <c r="J25" s="33">
        <v>794368.17999999993</v>
      </c>
      <c r="K25" s="33">
        <v>758524.56</v>
      </c>
      <c r="L25" s="32"/>
      <c r="M25" s="32"/>
      <c r="N25" s="33">
        <v>369062</v>
      </c>
      <c r="O25" s="33">
        <v>389462.56000000006</v>
      </c>
      <c r="P25" s="120">
        <v>95.487782504077657</v>
      </c>
      <c r="R25" s="19">
        <f t="shared" si="2"/>
        <v>35843.619999999879</v>
      </c>
      <c r="S25" s="19">
        <f t="shared" si="1"/>
        <v>25148.299999999985</v>
      </c>
      <c r="V25" s="129">
        <v>26661.07</v>
      </c>
      <c r="W25" s="129">
        <f>340.48-9.85</f>
        <v>330.63</v>
      </c>
      <c r="X25" s="130"/>
      <c r="Y25" s="129">
        <v>23522.880000000001</v>
      </c>
      <c r="Z25" s="129">
        <v>899.65</v>
      </c>
      <c r="AA25" s="48"/>
      <c r="AB25" s="48"/>
      <c r="AC25" s="49">
        <f t="shared" si="0"/>
        <v>26463.635999999999</v>
      </c>
    </row>
    <row r="26" spans="1:29">
      <c r="A26" s="67"/>
      <c r="B26" s="67"/>
      <c r="C26" s="67"/>
      <c r="D26" s="67"/>
      <c r="E26" s="67"/>
      <c r="F26" s="68"/>
      <c r="G26" s="67"/>
      <c r="H26" s="68"/>
      <c r="I26" s="68"/>
      <c r="J26" s="68"/>
      <c r="K26" s="68"/>
      <c r="L26" s="67"/>
      <c r="M26" s="67"/>
      <c r="N26" s="67"/>
      <c r="O26" s="68"/>
      <c r="P26" s="63"/>
      <c r="V26" s="37">
        <f>SUM(V16:V25)</f>
        <v>756242.82000000007</v>
      </c>
      <c r="W26" s="37">
        <f>SUM(W16:W25)</f>
        <v>44727.30999999999</v>
      </c>
      <c r="X26" s="37">
        <f t="shared" ref="X26:Z26" si="3">SUM(X16:X25)</f>
        <v>0</v>
      </c>
      <c r="Y26" s="37">
        <f t="shared" si="3"/>
        <v>791236.59</v>
      </c>
      <c r="Z26" s="37">
        <f t="shared" si="3"/>
        <v>14968.820000000002</v>
      </c>
      <c r="AA26" s="48"/>
      <c r="AB26" s="48"/>
      <c r="AC26" s="49">
        <f t="shared" ref="AC26:AC33" si="4">E26*F26*3</f>
        <v>0</v>
      </c>
    </row>
    <row r="27" spans="1:29" s="17" customFormat="1" ht="12" hidden="1" customHeight="1">
      <c r="A27" s="4" t="s">
        <v>64</v>
      </c>
      <c r="C27" s="90"/>
      <c r="D27" s="90"/>
      <c r="E27" s="90"/>
      <c r="F27" s="90"/>
      <c r="G27" s="90"/>
      <c r="H27" s="90"/>
      <c r="I27" s="90"/>
      <c r="J27" s="90"/>
      <c r="K27" s="90"/>
      <c r="L27" s="4"/>
      <c r="P27" s="62"/>
      <c r="Y27" s="124"/>
      <c r="Z27" s="124"/>
      <c r="AA27" s="48"/>
      <c r="AB27" s="48"/>
      <c r="AC27" s="49">
        <f t="shared" si="4"/>
        <v>0</v>
      </c>
    </row>
    <row r="28" spans="1:29" s="17" customFormat="1" ht="16.5" hidden="1" customHeight="1">
      <c r="A28" s="4"/>
      <c r="B28" s="136" t="s">
        <v>482</v>
      </c>
      <c r="C28" s="136"/>
      <c r="D28" s="136"/>
      <c r="E28" s="136"/>
      <c r="F28" s="136"/>
      <c r="G28" s="136"/>
      <c r="H28" s="136"/>
      <c r="I28" s="136"/>
      <c r="J28" s="136"/>
      <c r="K28" s="90"/>
      <c r="L28" s="4"/>
      <c r="P28" s="62"/>
      <c r="Y28" s="124"/>
      <c r="Z28" s="124"/>
      <c r="AA28" s="48"/>
      <c r="AB28" s="48"/>
      <c r="AC28" s="49">
        <f t="shared" si="4"/>
        <v>0</v>
      </c>
    </row>
    <row r="29" spans="1:29" s="62" customFormat="1" ht="18" hidden="1" customHeight="1">
      <c r="A29" s="111"/>
      <c r="B29" s="191" t="s">
        <v>481</v>
      </c>
      <c r="C29" s="191"/>
      <c r="D29" s="191"/>
      <c r="E29" s="191"/>
      <c r="F29" s="191"/>
      <c r="G29" s="191"/>
      <c r="H29" s="191"/>
      <c r="I29" s="191"/>
      <c r="J29" s="15"/>
      <c r="K29" s="15"/>
      <c r="Y29" s="124"/>
      <c r="Z29" s="124"/>
      <c r="AA29" s="48"/>
      <c r="AB29" s="48"/>
      <c r="AC29" s="49">
        <f t="shared" si="4"/>
        <v>0</v>
      </c>
    </row>
    <row r="30" spans="1:29" s="62" customFormat="1" ht="14.25" hidden="1" customHeight="1">
      <c r="A30" s="111"/>
      <c r="B30" s="13" t="s">
        <v>485</v>
      </c>
      <c r="C30" s="149"/>
      <c r="D30" s="149"/>
      <c r="E30" s="149"/>
      <c r="F30" s="149"/>
      <c r="G30" s="149"/>
      <c r="H30" s="149"/>
      <c r="I30" s="149"/>
      <c r="J30" s="15"/>
      <c r="K30" s="15"/>
      <c r="Y30" s="124"/>
      <c r="Z30" s="124"/>
      <c r="AA30" s="48"/>
      <c r="AB30" s="48"/>
      <c r="AC30" s="49"/>
    </row>
    <row r="31" spans="1:29" s="17" customFormat="1" ht="21" hidden="1" customHeight="1">
      <c r="A31" s="4"/>
      <c r="B31" s="13" t="s">
        <v>486</v>
      </c>
      <c r="C31" s="13"/>
      <c r="D31" s="13"/>
      <c r="E31" s="13"/>
      <c r="F31" s="13"/>
      <c r="G31" s="13"/>
      <c r="H31" s="13"/>
      <c r="I31" s="13"/>
      <c r="J31" s="13"/>
      <c r="K31" s="13"/>
      <c r="P31" s="62"/>
      <c r="Y31" s="124">
        <v>56183.08</v>
      </c>
      <c r="Z31" s="124">
        <v>20.37</v>
      </c>
      <c r="AA31" s="48"/>
      <c r="AB31" s="48"/>
      <c r="AC31" s="49">
        <f t="shared" si="4"/>
        <v>0</v>
      </c>
    </row>
    <row r="32" spans="1:29" s="17" customFormat="1" ht="15.75" hidden="1" customHeight="1">
      <c r="A32" s="4"/>
      <c r="B32" s="13" t="s">
        <v>487</v>
      </c>
      <c r="C32" s="13"/>
      <c r="D32" s="13"/>
      <c r="E32" s="13"/>
      <c r="F32" s="13"/>
      <c r="G32" s="13"/>
      <c r="H32" s="13"/>
      <c r="I32" s="13"/>
      <c r="J32" s="13"/>
      <c r="K32" s="13"/>
      <c r="P32" s="62"/>
      <c r="Y32" s="124"/>
      <c r="Z32" s="124"/>
      <c r="AA32" s="48"/>
      <c r="AB32" s="48"/>
      <c r="AC32" s="49"/>
    </row>
    <row r="33" spans="1:29" s="17" customFormat="1" ht="15" hidden="1" customHeight="1">
      <c r="A33" s="4"/>
      <c r="B33" s="13" t="s">
        <v>488</v>
      </c>
      <c r="C33" s="13"/>
      <c r="D33" s="13"/>
      <c r="E33" s="13"/>
      <c r="F33" s="13"/>
      <c r="G33" s="13"/>
      <c r="H33" s="13"/>
      <c r="I33" s="13"/>
      <c r="J33" s="13"/>
      <c r="K33" s="13"/>
      <c r="P33" s="62"/>
      <c r="Y33" s="124">
        <v>43711.13</v>
      </c>
      <c r="Z33" s="124">
        <v>979.02</v>
      </c>
      <c r="AA33" s="48"/>
      <c r="AB33" s="48"/>
      <c r="AC33" s="49">
        <f t="shared" si="4"/>
        <v>0</v>
      </c>
    </row>
    <row r="34" spans="1:29" s="17" customFormat="1" ht="14.25" hidden="1" customHeight="1">
      <c r="A34" s="4"/>
      <c r="B34" s="13" t="s">
        <v>484</v>
      </c>
      <c r="C34" s="13"/>
      <c r="D34" s="13"/>
      <c r="E34" s="13"/>
      <c r="F34" s="13"/>
      <c r="G34" s="13"/>
      <c r="H34" s="13"/>
      <c r="I34" s="13"/>
      <c r="J34" s="13"/>
      <c r="K34" s="13"/>
      <c r="P34" s="62"/>
      <c r="Y34" s="3"/>
      <c r="Z34" s="3"/>
      <c r="AA34"/>
      <c r="AB34"/>
      <c r="AC34"/>
    </row>
    <row r="35" spans="1:29" s="17" customFormat="1" ht="18" hidden="1" customHeight="1">
      <c r="A35" s="4"/>
      <c r="C35" s="13"/>
      <c r="D35" s="13"/>
      <c r="E35" s="13"/>
      <c r="F35" s="13"/>
      <c r="G35" s="13"/>
      <c r="H35" s="13"/>
      <c r="I35" s="13"/>
      <c r="J35" s="13"/>
      <c r="K35" s="13"/>
      <c r="P35" s="62"/>
      <c r="Y35" s="28"/>
      <c r="Z35" s="28"/>
      <c r="AA35" s="27"/>
      <c r="AB35" s="27"/>
      <c r="AC35" s="27"/>
    </row>
    <row r="36" spans="1:29" s="17" customFormat="1" ht="12" hidden="1" customHeight="1">
      <c r="A36" s="4"/>
      <c r="C36" s="13"/>
      <c r="D36" s="13"/>
      <c r="E36" s="13"/>
      <c r="F36" s="13"/>
      <c r="G36" s="13"/>
      <c r="H36" s="13"/>
      <c r="I36" s="13"/>
      <c r="J36" s="13"/>
      <c r="K36" s="13"/>
      <c r="P36" s="62"/>
      <c r="Y36" s="28"/>
      <c r="Z36" s="28"/>
      <c r="AA36" s="27"/>
      <c r="AB36" s="27"/>
      <c r="AC36" s="27"/>
    </row>
    <row r="37" spans="1:29" s="17" customFormat="1" ht="15.75" hidden="1">
      <c r="A37" s="4" t="s">
        <v>483</v>
      </c>
      <c r="P37" s="62"/>
      <c r="Y37" s="28"/>
      <c r="Z37" s="28"/>
      <c r="AA37" s="27"/>
      <c r="AB37" s="27"/>
      <c r="AC37" s="27"/>
    </row>
    <row r="38" spans="1:29" s="17" customFormat="1" ht="15.75" hidden="1">
      <c r="A38" s="4" t="s">
        <v>59</v>
      </c>
      <c r="P38" s="62"/>
      <c r="Y38" s="3"/>
      <c r="Z38" s="3"/>
      <c r="AA38"/>
      <c r="AB38"/>
      <c r="AC38"/>
    </row>
    <row r="39" spans="1:29" s="17" customFormat="1" ht="15.75" hidden="1">
      <c r="A39" s="4"/>
      <c r="P39" s="62"/>
      <c r="Y39" s="3"/>
      <c r="Z39" s="3"/>
      <c r="AA39"/>
      <c r="AB39"/>
      <c r="AC39"/>
    </row>
    <row r="40" spans="1:29" hidden="1">
      <c r="A40" s="2" t="s">
        <v>48</v>
      </c>
    </row>
  </sheetData>
  <sheetProtection password="CCF1" sheet="1" formatCells="0" formatColumns="0" formatRows="0" insertColumns="0" insertRows="0" insertHyperlinks="0" deleteColumns="0" deleteRows="0" sort="0" autoFilter="0" pivotTables="0"/>
  <autoFilter ref="A15:W25"/>
  <mergeCells count="26">
    <mergeCell ref="D9:L9"/>
    <mergeCell ref="A1:P1"/>
    <mergeCell ref="A2:P2"/>
    <mergeCell ref="A3:O3"/>
    <mergeCell ref="A4:O4"/>
    <mergeCell ref="D6:M6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J13:J14"/>
    <mergeCell ref="K13:K14"/>
    <mergeCell ref="L13:L14"/>
    <mergeCell ref="M13:M14"/>
    <mergeCell ref="N13:N14"/>
    <mergeCell ref="B29:I29"/>
    <mergeCell ref="G12:G14"/>
    <mergeCell ref="H12:I12"/>
    <mergeCell ref="J12:K12"/>
    <mergeCell ref="L12:N12"/>
    <mergeCell ref="F12:F14"/>
  </mergeCells>
  <pageMargins left="0.78740157480314965" right="0.39370078740157483" top="0.39370078740157483" bottom="0.35433070866141736" header="0.31496062992125984" footer="0.31496062992125984"/>
  <pageSetup paperSize="9" scale="41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"/>
  <sheetViews>
    <sheetView topLeftCell="A10" workbookViewId="0">
      <selection activeCell="W28" sqref="W28"/>
    </sheetView>
  </sheetViews>
  <sheetFormatPr defaultColWidth="9.140625" defaultRowHeight="15"/>
  <cols>
    <col min="1" max="2" width="9.140625" style="13"/>
    <col min="3" max="3" width="15.42578125" style="13" customWidth="1"/>
    <col min="4" max="6" width="9.140625" style="13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0.42578125" style="13" customWidth="1"/>
    <col min="15" max="15" width="13.42578125" style="13" customWidth="1"/>
    <col min="16" max="16" width="9.140625" style="13"/>
    <col min="17" max="17" width="14" style="13" customWidth="1"/>
    <col min="18" max="18" width="11.5703125" style="13" bestFit="1" customWidth="1"/>
    <col min="19" max="19" width="9.140625" style="13"/>
    <col min="20" max="20" width="11.5703125" style="13" bestFit="1" customWidth="1"/>
    <col min="21" max="16384" width="9.140625" style="13"/>
  </cols>
  <sheetData>
    <row r="1" spans="1:20" ht="11.2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0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20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1:20" ht="15.75">
      <c r="A4" s="158" t="s">
        <v>103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20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</row>
    <row r="6" spans="1:20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</row>
    <row r="7" spans="1:20" ht="15.75">
      <c r="A7" s="1" t="s">
        <v>7</v>
      </c>
      <c r="D7" s="18" t="s">
        <v>51</v>
      </c>
      <c r="E7" s="17"/>
      <c r="F7" s="17"/>
      <c r="G7" s="17"/>
      <c r="H7" s="17"/>
    </row>
    <row r="8" spans="1:20">
      <c r="A8" s="1" t="s">
        <v>8</v>
      </c>
    </row>
    <row r="9" spans="1:20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</row>
    <row r="10" spans="1:20" ht="15.75">
      <c r="A10" s="18" t="s">
        <v>61</v>
      </c>
    </row>
    <row r="11" spans="1:20" ht="15.75">
      <c r="A11" s="18" t="s">
        <v>62</v>
      </c>
    </row>
    <row r="12" spans="1:20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</row>
    <row r="13" spans="1:20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</row>
    <row r="14" spans="1:20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</row>
    <row r="15" spans="1:20">
      <c r="A15" s="7">
        <v>1</v>
      </c>
      <c r="B15" s="6">
        <v>1</v>
      </c>
      <c r="C15" s="7">
        <v>2</v>
      </c>
      <c r="D15" s="7">
        <v>3</v>
      </c>
      <c r="E15" s="7">
        <v>4</v>
      </c>
      <c r="F15" s="7">
        <v>5</v>
      </c>
      <c r="G15" s="7">
        <v>6</v>
      </c>
      <c r="H15" s="6">
        <v>7</v>
      </c>
      <c r="I15" s="6">
        <v>8</v>
      </c>
      <c r="J15" s="6">
        <v>9</v>
      </c>
      <c r="K15" s="6">
        <v>10</v>
      </c>
      <c r="L15" s="6">
        <v>11</v>
      </c>
      <c r="M15" s="6">
        <v>12</v>
      </c>
      <c r="N15" s="6">
        <v>13</v>
      </c>
      <c r="O15" s="8">
        <v>14</v>
      </c>
    </row>
    <row r="16" spans="1:20" s="15" customFormat="1" ht="88.5" customHeight="1">
      <c r="A16" s="32">
        <v>1</v>
      </c>
      <c r="B16" s="32" t="s">
        <v>28</v>
      </c>
      <c r="C16" s="32" t="s">
        <v>52</v>
      </c>
      <c r="D16" s="32">
        <v>2001</v>
      </c>
      <c r="E16" s="32"/>
      <c r="F16" s="32" t="s">
        <v>53</v>
      </c>
      <c r="G16" s="32">
        <v>5.3</v>
      </c>
      <c r="H16" s="32"/>
      <c r="I16" s="33">
        <v>120070.59</v>
      </c>
      <c r="J16" s="33">
        <f>'УК 1кв. 2019г'!J18+'УК 2 кв. 2019г '!Q16</f>
        <v>2293893.94</v>
      </c>
      <c r="K16" s="33">
        <f>'УК 1кв. 2019г'!K18+'УК 2 кв. 2019г '!I16</f>
        <v>2133922.5499999998</v>
      </c>
      <c r="L16" s="34"/>
      <c r="M16" s="47" t="s">
        <v>107</v>
      </c>
      <c r="N16" s="33">
        <v>60350</v>
      </c>
      <c r="O16" s="33">
        <f>K16-N16</f>
        <v>2073572.5499999998</v>
      </c>
      <c r="P16">
        <f>K16/J16*100</f>
        <v>93.026208090510053</v>
      </c>
      <c r="Q16" s="15">
        <f>148068.78+2316.75</f>
        <v>150385.53</v>
      </c>
      <c r="R16" s="19">
        <f>J16-K16</f>
        <v>159971.39000000013</v>
      </c>
      <c r="T16" s="19"/>
    </row>
    <row r="17" spans="1:20" s="15" customFormat="1" ht="48.75" customHeight="1">
      <c r="A17" s="32">
        <v>2</v>
      </c>
      <c r="B17" s="32" t="s">
        <v>28</v>
      </c>
      <c r="C17" s="32" t="s">
        <v>57</v>
      </c>
      <c r="D17" s="32">
        <v>2011</v>
      </c>
      <c r="E17" s="32"/>
      <c r="F17" s="32" t="s">
        <v>58</v>
      </c>
      <c r="G17" s="32">
        <v>7.32</v>
      </c>
      <c r="H17" s="32"/>
      <c r="I17" s="33">
        <v>67993.240000000005</v>
      </c>
      <c r="J17" s="33">
        <f>'УК 1кв. 2019г'!J19+'УК 2 кв. 2019г '!Q17</f>
        <v>544116.34</v>
      </c>
      <c r="K17" s="33">
        <f>'УК 1кв. 2019г'!K19+'УК 2 кв. 2019г '!I17</f>
        <v>444413.24999999994</v>
      </c>
      <c r="L17" s="32"/>
      <c r="M17" s="32"/>
      <c r="N17" s="32"/>
      <c r="O17" s="33">
        <f t="shared" ref="O17:O19" si="0">K17-N17</f>
        <v>444413.24999999994</v>
      </c>
      <c r="P17">
        <f>K17/J17*100</f>
        <v>81.676144847993342</v>
      </c>
      <c r="Q17" s="15">
        <f>66855.09+1696.37</f>
        <v>68551.459999999992</v>
      </c>
      <c r="R17" s="19">
        <f>J17-K17</f>
        <v>99703.090000000026</v>
      </c>
    </row>
    <row r="18" spans="1:20" s="15" customFormat="1" ht="51.75" customHeight="1">
      <c r="A18" s="32">
        <v>3</v>
      </c>
      <c r="B18" s="32" t="s">
        <v>28</v>
      </c>
      <c r="C18" s="32" t="s">
        <v>91</v>
      </c>
      <c r="D18" s="32">
        <v>2012</v>
      </c>
      <c r="E18" s="32"/>
      <c r="F18" s="33">
        <v>2517.1</v>
      </c>
      <c r="G18" s="32">
        <v>7.32</v>
      </c>
      <c r="H18" s="32"/>
      <c r="I18" s="33">
        <v>72354.58</v>
      </c>
      <c r="J18" s="33">
        <f>'УК 1кв. 2019г'!J20+'УК 2 кв. 2019г '!Q18</f>
        <v>974050.51</v>
      </c>
      <c r="K18" s="33">
        <f>'УК 1кв. 2019г'!K20+'УК 2 кв. 2019г '!I18</f>
        <v>604952.0199999999</v>
      </c>
      <c r="L18" s="34"/>
      <c r="M18" s="35"/>
      <c r="N18" s="36"/>
      <c r="O18" s="33">
        <f t="shared" si="0"/>
        <v>604952.0199999999</v>
      </c>
      <c r="P18">
        <f>K18/J18*100</f>
        <v>62.106842898732218</v>
      </c>
      <c r="Q18" s="15">
        <f>59779.53+6759.79-778.39</f>
        <v>65760.929999999993</v>
      </c>
      <c r="R18" s="19">
        <f>J18-K18</f>
        <v>369098.49000000011</v>
      </c>
      <c r="T18" s="19"/>
    </row>
    <row r="19" spans="1:20" s="15" customFormat="1" ht="48.75" customHeight="1">
      <c r="A19" s="32">
        <v>4</v>
      </c>
      <c r="B19" s="32" t="s">
        <v>28</v>
      </c>
      <c r="C19" s="32" t="s">
        <v>92</v>
      </c>
      <c r="D19" s="32">
        <v>2012</v>
      </c>
      <c r="E19" s="32"/>
      <c r="F19" s="33">
        <v>2504.1999999999998</v>
      </c>
      <c r="G19" s="32">
        <v>7.32</v>
      </c>
      <c r="H19" s="32"/>
      <c r="I19" s="33">
        <v>70389.87</v>
      </c>
      <c r="J19" s="33">
        <f>'УК 1кв. 2019г'!J21+'УК 2 кв. 2019г '!Q19</f>
        <v>1188261.06</v>
      </c>
      <c r="K19" s="33">
        <f>'УК 1кв. 2019г'!K21+'УК 2 кв. 2019г '!I19</f>
        <v>887273.54</v>
      </c>
      <c r="L19" s="32"/>
      <c r="M19" s="32"/>
      <c r="N19" s="32"/>
      <c r="O19" s="33">
        <f t="shared" si="0"/>
        <v>887273.54</v>
      </c>
      <c r="P19">
        <f>K19/J19*100</f>
        <v>74.66991639025855</v>
      </c>
      <c r="Q19" s="15">
        <f>55275.54+8389.33</f>
        <v>63664.87</v>
      </c>
      <c r="R19" s="19">
        <f>J19-K19</f>
        <v>300987.52000000002</v>
      </c>
    </row>
    <row r="20" spans="1:20">
      <c r="A20" s="2"/>
    </row>
    <row r="21" spans="1:20" s="17" customFormat="1" ht="15.75">
      <c r="A21" s="4" t="s">
        <v>64</v>
      </c>
      <c r="C21" s="13" t="s">
        <v>105</v>
      </c>
      <c r="D21" s="13"/>
      <c r="E21" s="13"/>
      <c r="F21" s="13"/>
      <c r="G21" s="13"/>
      <c r="H21" s="13"/>
      <c r="I21" s="13"/>
      <c r="J21" s="13"/>
      <c r="K21" s="13"/>
    </row>
    <row r="22" spans="1:20" s="17" customFormat="1" ht="15.75">
      <c r="A22" s="4"/>
      <c r="C22" s="13" t="s">
        <v>106</v>
      </c>
      <c r="D22" s="13"/>
      <c r="E22" s="13"/>
      <c r="F22" s="13"/>
      <c r="G22" s="13"/>
      <c r="H22" s="13"/>
      <c r="I22" s="13"/>
      <c r="J22" s="13"/>
      <c r="K22" s="13"/>
    </row>
    <row r="23" spans="1:20" s="17" customFormat="1" ht="15.75">
      <c r="A23" s="4"/>
      <c r="C23" s="13" t="s">
        <v>108</v>
      </c>
      <c r="D23" s="13"/>
      <c r="E23" s="13"/>
      <c r="F23" s="13"/>
      <c r="G23" s="13"/>
      <c r="H23" s="13"/>
      <c r="I23" s="13"/>
      <c r="J23" s="13"/>
      <c r="K23" s="13"/>
    </row>
    <row r="24" spans="1:20" s="17" customFormat="1" ht="15.75">
      <c r="A24" s="4"/>
      <c r="C24" s="13" t="s">
        <v>109</v>
      </c>
      <c r="D24" s="13"/>
      <c r="E24" s="13"/>
      <c r="F24" s="13"/>
      <c r="G24" s="13"/>
      <c r="H24" s="13"/>
      <c r="I24" s="13"/>
      <c r="J24" s="13"/>
      <c r="K24" s="13"/>
    </row>
    <row r="25" spans="1:20" s="17" customFormat="1" ht="15.75">
      <c r="A25" s="4"/>
    </row>
    <row r="26" spans="1:20" s="17" customFormat="1" ht="15.75">
      <c r="A26" s="4" t="s">
        <v>104</v>
      </c>
    </row>
    <row r="27" spans="1:20" s="17" customFormat="1" ht="15.75">
      <c r="A27" s="4" t="s">
        <v>59</v>
      </c>
    </row>
    <row r="28" spans="1:20">
      <c r="A28" s="2" t="s">
        <v>48</v>
      </c>
    </row>
  </sheetData>
  <mergeCells count="24">
    <mergeCell ref="O12:O14"/>
    <mergeCell ref="H13:H14"/>
    <mergeCell ref="I13:I14"/>
    <mergeCell ref="J13:J14"/>
    <mergeCell ref="K13:K14"/>
    <mergeCell ref="L13:L14"/>
    <mergeCell ref="M13:M14"/>
    <mergeCell ref="N13:N14"/>
    <mergeCell ref="D9:L9"/>
    <mergeCell ref="A12:A14"/>
    <mergeCell ref="B12:B14"/>
    <mergeCell ref="C12:C14"/>
    <mergeCell ref="D12:D14"/>
    <mergeCell ref="E12:E14"/>
    <mergeCell ref="F12:F14"/>
    <mergeCell ref="G12:G14"/>
    <mergeCell ref="H12:I12"/>
    <mergeCell ref="J12:K12"/>
    <mergeCell ref="L12:N12"/>
    <mergeCell ref="A1:O1"/>
    <mergeCell ref="A2:O2"/>
    <mergeCell ref="A3:O3"/>
    <mergeCell ref="A4:O4"/>
    <mergeCell ref="D6:M6"/>
  </mergeCells>
  <pageMargins left="0.39370078740157483" right="0.39370078740157483" top="0.74803149606299213" bottom="0.74803149606299213" header="0.31496062992125984" footer="0.31496062992125984"/>
  <pageSetup paperSize="9" scale="63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4"/>
  <sheetViews>
    <sheetView topLeftCell="A18" workbookViewId="0">
      <selection activeCell="W28" sqref="W28"/>
    </sheetView>
  </sheetViews>
  <sheetFormatPr defaultRowHeight="15"/>
  <cols>
    <col min="1" max="1" width="6.140625" customWidth="1"/>
    <col min="3" max="3" width="15.42578125" customWidth="1"/>
    <col min="8" max="8" width="12.140625" customWidth="1"/>
    <col min="9" max="9" width="13.5703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4.42578125" customWidth="1"/>
    <col min="15" max="15" width="13" customWidth="1"/>
    <col min="16" max="16" width="11.28515625" hidden="1" customWidth="1"/>
    <col min="17" max="17" width="9.140625" customWidth="1"/>
    <col min="18" max="18" width="11.7109375" customWidth="1"/>
    <col min="20" max="20" width="10" bestFit="1" customWidth="1"/>
    <col min="21" max="21" width="12.140625" style="3" customWidth="1"/>
    <col min="22" max="22" width="11.42578125" style="3" bestFit="1" customWidth="1"/>
    <col min="23" max="24" width="10" style="3" customWidth="1"/>
    <col min="25" max="25" width="11.42578125" style="3" bestFit="1" customWidth="1"/>
    <col min="27" max="27" width="9.140625" style="3"/>
    <col min="28" max="28" width="11.140625" style="3" customWidth="1"/>
  </cols>
  <sheetData>
    <row r="1" spans="1:29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U1" s="26"/>
      <c r="V1" s="26"/>
      <c r="W1" s="26"/>
      <c r="X1" s="26"/>
      <c r="Y1" s="26"/>
      <c r="AA1" s="26"/>
      <c r="AB1" s="26"/>
    </row>
    <row r="2" spans="1:29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U2" s="26"/>
      <c r="V2" s="26"/>
      <c r="W2" s="26"/>
      <c r="X2" s="26"/>
      <c r="Y2" s="26"/>
      <c r="AA2" s="26"/>
      <c r="AB2" s="26"/>
    </row>
    <row r="3" spans="1:29" s="13" customFormat="1" ht="15.75">
      <c r="A3" s="158" t="str">
        <f>'УК 2 кв. 2019г '!A4:O4</f>
        <v xml:space="preserve">по состоянию за 2 квартал 2019 года на 01 июля 2019 года 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U3" s="37"/>
      <c r="V3" s="37"/>
      <c r="W3" s="37"/>
      <c r="X3" s="37"/>
      <c r="Y3" s="37"/>
      <c r="AA3" s="37"/>
      <c r="AB3" s="37"/>
    </row>
    <row r="4" spans="1:29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  <c r="U4" s="37"/>
      <c r="V4" s="37"/>
      <c r="W4" s="37"/>
      <c r="X4" s="37"/>
      <c r="Y4" s="37"/>
      <c r="AA4" s="37"/>
      <c r="AB4" s="37"/>
    </row>
    <row r="5" spans="1:29" s="13" customFormat="1" ht="14.2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  <c r="U5" s="37"/>
      <c r="V5" s="37"/>
      <c r="W5" s="37"/>
      <c r="X5" s="37"/>
      <c r="Y5" s="37"/>
      <c r="AA5" s="37"/>
      <c r="AB5" s="37"/>
    </row>
    <row r="6" spans="1:29" s="13" customFormat="1" ht="15.75">
      <c r="A6" s="1" t="s">
        <v>7</v>
      </c>
      <c r="D6" s="18" t="s">
        <v>68</v>
      </c>
      <c r="E6" s="17"/>
      <c r="F6" s="17"/>
      <c r="G6" s="17"/>
      <c r="H6" s="17"/>
      <c r="U6" s="37"/>
      <c r="V6" s="37"/>
      <c r="W6" s="37"/>
      <c r="X6" s="37"/>
      <c r="Y6" s="37"/>
      <c r="AA6" s="37"/>
      <c r="AB6" s="37"/>
    </row>
    <row r="7" spans="1:29" s="13" customFormat="1">
      <c r="A7" s="1" t="s">
        <v>8</v>
      </c>
      <c r="U7" s="37"/>
      <c r="V7" s="37"/>
      <c r="W7" s="37"/>
      <c r="X7" s="37"/>
      <c r="Y7" s="37"/>
      <c r="AA7" s="37"/>
      <c r="AB7" s="37"/>
    </row>
    <row r="8" spans="1:29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  <c r="U8" s="37"/>
      <c r="V8" s="37"/>
      <c r="W8" s="37"/>
      <c r="X8" s="37"/>
      <c r="Y8" s="37"/>
      <c r="AA8" s="37"/>
      <c r="AB8" s="37"/>
    </row>
    <row r="9" spans="1:29" s="13" customFormat="1" ht="15.75">
      <c r="A9" s="18" t="s">
        <v>69</v>
      </c>
      <c r="U9" s="37"/>
      <c r="V9" s="37"/>
      <c r="W9" s="37"/>
      <c r="X9" s="37"/>
      <c r="Y9" s="37"/>
      <c r="AA9" s="37"/>
      <c r="AB9" s="37"/>
    </row>
    <row r="10" spans="1:29" s="13" customFormat="1" ht="15.75">
      <c r="A10" s="18" t="s">
        <v>70</v>
      </c>
      <c r="U10" s="37"/>
      <c r="V10" s="37"/>
      <c r="W10" s="37"/>
      <c r="X10" s="37"/>
      <c r="Y10" s="37"/>
      <c r="AA10" s="37"/>
      <c r="AB10" s="37"/>
    </row>
    <row r="11" spans="1:29" s="38" customFormat="1" ht="42" customHeight="1">
      <c r="A11" s="160" t="s">
        <v>10</v>
      </c>
      <c r="B11" s="205" t="s">
        <v>11</v>
      </c>
      <c r="C11" s="160" t="s">
        <v>12</v>
      </c>
      <c r="D11" s="160" t="s">
        <v>13</v>
      </c>
      <c r="E11" s="160" t="s">
        <v>14</v>
      </c>
      <c r="F11" s="160" t="s">
        <v>15</v>
      </c>
      <c r="G11" s="160" t="s">
        <v>16</v>
      </c>
      <c r="H11" s="204" t="s">
        <v>17</v>
      </c>
      <c r="I11" s="204"/>
      <c r="J11" s="204" t="s">
        <v>18</v>
      </c>
      <c r="K11" s="204"/>
      <c r="L11" s="204" t="s">
        <v>19</v>
      </c>
      <c r="M11" s="204"/>
      <c r="N11" s="204"/>
      <c r="O11" s="204" t="s">
        <v>20</v>
      </c>
      <c r="P11" s="14"/>
      <c r="Q11" s="208" t="s">
        <v>102</v>
      </c>
      <c r="U11" s="39"/>
      <c r="V11" s="39"/>
      <c r="W11" s="39"/>
      <c r="X11" s="39"/>
      <c r="Y11" s="39"/>
      <c r="AA11" s="39"/>
      <c r="AB11" s="39"/>
    </row>
    <row r="12" spans="1:29" s="38" customFormat="1" ht="12.75">
      <c r="A12" s="161"/>
      <c r="B12" s="206"/>
      <c r="C12" s="161"/>
      <c r="D12" s="161"/>
      <c r="E12" s="161"/>
      <c r="F12" s="161"/>
      <c r="G12" s="161"/>
      <c r="H12" s="204" t="s">
        <v>21</v>
      </c>
      <c r="I12" s="204" t="s">
        <v>22</v>
      </c>
      <c r="J12" s="204" t="s">
        <v>23</v>
      </c>
      <c r="K12" s="204" t="s">
        <v>24</v>
      </c>
      <c r="L12" s="204" t="s">
        <v>25</v>
      </c>
      <c r="M12" s="204" t="s">
        <v>26</v>
      </c>
      <c r="N12" s="204" t="s">
        <v>27</v>
      </c>
      <c r="O12" s="204"/>
      <c r="P12" s="14"/>
      <c r="Q12" s="209"/>
      <c r="U12" s="39"/>
      <c r="V12" s="39"/>
      <c r="W12" s="39"/>
      <c r="X12" s="39"/>
      <c r="Y12" s="39"/>
      <c r="AA12" s="39"/>
      <c r="AB12" s="39"/>
    </row>
    <row r="13" spans="1:29" s="38" customFormat="1" ht="93" customHeight="1">
      <c r="A13" s="162"/>
      <c r="B13" s="207"/>
      <c r="C13" s="162"/>
      <c r="D13" s="162"/>
      <c r="E13" s="162"/>
      <c r="F13" s="162"/>
      <c r="G13" s="162"/>
      <c r="H13" s="204"/>
      <c r="I13" s="204"/>
      <c r="J13" s="204"/>
      <c r="K13" s="204"/>
      <c r="L13" s="204"/>
      <c r="M13" s="204"/>
      <c r="N13" s="204"/>
      <c r="O13" s="204"/>
      <c r="P13" s="14"/>
      <c r="Q13" s="210"/>
      <c r="U13" s="39"/>
      <c r="V13" s="39"/>
      <c r="W13" s="39"/>
      <c r="X13" s="39"/>
      <c r="Y13" s="39"/>
      <c r="AA13" s="39"/>
      <c r="AB13" s="39"/>
    </row>
    <row r="14" spans="1:29" s="14" customFormat="1" ht="11.25">
      <c r="A14" s="51">
        <v>1</v>
      </c>
      <c r="B14" s="52">
        <v>1</v>
      </c>
      <c r="C14" s="51">
        <v>2</v>
      </c>
      <c r="D14" s="51">
        <v>3</v>
      </c>
      <c r="E14" s="51">
        <v>4</v>
      </c>
      <c r="F14" s="51">
        <v>5</v>
      </c>
      <c r="G14" s="51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3">
        <v>14</v>
      </c>
      <c r="Q14" s="54"/>
      <c r="R14" s="14" t="s">
        <v>112</v>
      </c>
      <c r="U14" s="55"/>
      <c r="V14" s="55"/>
      <c r="W14" s="55"/>
      <c r="X14" s="55"/>
      <c r="Y14" s="55" t="s">
        <v>111</v>
      </c>
      <c r="AA14" s="55"/>
      <c r="AB14" s="55"/>
    </row>
    <row r="15" spans="1:29" s="49" customFormat="1" ht="45.75" thickBot="1">
      <c r="A15" s="32">
        <v>1</v>
      </c>
      <c r="B15" s="32" t="s">
        <v>28</v>
      </c>
      <c r="C15" s="32" t="s">
        <v>29</v>
      </c>
      <c r="D15" s="32"/>
      <c r="E15" s="32"/>
      <c r="F15" s="33">
        <v>4750.3</v>
      </c>
      <c r="G15" s="32">
        <v>5.3</v>
      </c>
      <c r="H15" s="58">
        <f>Y15+W15/3*2</f>
        <v>387011.77</v>
      </c>
      <c r="I15" s="33">
        <v>60984.45</v>
      </c>
      <c r="J15" s="33">
        <f>V15+W15/3*2+X15</f>
        <v>1438988.71</v>
      </c>
      <c r="K15" s="33">
        <f>'ТСЖ 1 кв.2019г'!O15+'ТСЖ 2 кв.2019г '!I15</f>
        <v>1110665.1199999999</v>
      </c>
      <c r="L15" s="33"/>
      <c r="M15" s="33"/>
      <c r="N15" s="33"/>
      <c r="O15" s="33">
        <f>K15-N15</f>
        <v>1110665.1199999999</v>
      </c>
      <c r="P15" s="44">
        <v>520817.08</v>
      </c>
      <c r="Q15" s="46">
        <f>K15/J15*100</f>
        <v>77.183727174621126</v>
      </c>
      <c r="R15" s="56">
        <f>J15-K15+AC15</f>
        <v>353500.18000000011</v>
      </c>
      <c r="U15" s="48"/>
      <c r="V15" s="48">
        <f>'ТСЖ 1 кв.2019г'!J15-'ТСЖ 1 кв.2019г'!N15+1036.27</f>
        <v>1387674.98</v>
      </c>
      <c r="W15" s="48">
        <f>75529.77</f>
        <v>75529.77</v>
      </c>
      <c r="X15" s="48">
        <v>960.55</v>
      </c>
      <c r="Y15" s="48">
        <v>336658.59</v>
      </c>
      <c r="AA15" s="50">
        <f>F15*G15*3</f>
        <v>75529.77</v>
      </c>
      <c r="AB15" s="50">
        <f>AA15-W15</f>
        <v>0</v>
      </c>
      <c r="AC15" s="48">
        <f>W15/3</f>
        <v>25176.59</v>
      </c>
    </row>
    <row r="16" spans="1:29" s="49" customFormat="1" ht="45.75" thickBot="1">
      <c r="A16" s="32">
        <v>2</v>
      </c>
      <c r="B16" s="32" t="s">
        <v>28</v>
      </c>
      <c r="C16" s="32" t="s">
        <v>30</v>
      </c>
      <c r="D16" s="32"/>
      <c r="E16" s="32"/>
      <c r="F16" s="33">
        <v>1908.8</v>
      </c>
      <c r="G16" s="32">
        <v>5.3</v>
      </c>
      <c r="H16" s="58">
        <f>Y16+W16/3*2</f>
        <v>100805.03</v>
      </c>
      <c r="I16" s="33">
        <v>28843.7</v>
      </c>
      <c r="J16" s="33">
        <f t="shared" ref="J16:J29" si="0">V16+W16/3*2+X16</f>
        <v>577169.56000000006</v>
      </c>
      <c r="K16" s="33">
        <f>'ТСЖ 1 кв.2019г'!O16+'ТСЖ 2 кв.2019г '!I16</f>
        <v>504954.42</v>
      </c>
      <c r="L16" s="33"/>
      <c r="M16" s="33"/>
      <c r="N16" s="33"/>
      <c r="O16" s="33">
        <f t="shared" ref="O16:O29" si="1">K16-N16</f>
        <v>504954.42</v>
      </c>
      <c r="P16" s="44">
        <v>264064.82</v>
      </c>
      <c r="Q16" s="46">
        <f t="shared" ref="Q16:Q29" si="2">K16/J16*100</f>
        <v>87.488054636838427</v>
      </c>
      <c r="R16" s="56">
        <f t="shared" ref="R16:R29" si="3">J16-K16+AC16</f>
        <v>82331.780000000072</v>
      </c>
      <c r="U16" s="48"/>
      <c r="V16" s="48">
        <f>'ТСЖ 1 кв.2019г'!J16-'ТСЖ 1 кв.2019г'!N16-4.54</f>
        <v>556682.47</v>
      </c>
      <c r="W16" s="48">
        <f>30349.92</f>
        <v>30349.919999999998</v>
      </c>
      <c r="X16" s="48">
        <v>253.81</v>
      </c>
      <c r="Y16" s="48">
        <v>80571.75</v>
      </c>
      <c r="AA16" s="50">
        <f t="shared" ref="AA16:AA29" si="4">F16*G16*3</f>
        <v>30349.919999999998</v>
      </c>
      <c r="AB16" s="50">
        <f t="shared" ref="AB16:AB29" si="5">AA16-W16</f>
        <v>0</v>
      </c>
      <c r="AC16" s="48">
        <f t="shared" ref="AC16:AC29" si="6">W16/3</f>
        <v>10116.64</v>
      </c>
    </row>
    <row r="17" spans="1:29" s="49" customFormat="1" ht="45.75" thickBot="1">
      <c r="A17" s="32">
        <v>3</v>
      </c>
      <c r="B17" s="32" t="s">
        <v>28</v>
      </c>
      <c r="C17" s="32" t="s">
        <v>71</v>
      </c>
      <c r="D17" s="32"/>
      <c r="E17" s="32"/>
      <c r="F17" s="33">
        <v>2983.5</v>
      </c>
      <c r="G17" s="32">
        <v>5.3</v>
      </c>
      <c r="H17" s="58">
        <f t="shared" ref="H17:H29" si="7">Y17+W17/3*2</f>
        <v>243897.48</v>
      </c>
      <c r="I17" s="33">
        <v>27578.1</v>
      </c>
      <c r="J17" s="33">
        <f t="shared" si="0"/>
        <v>450802.08999999991</v>
      </c>
      <c r="K17" s="33">
        <f>'ТСЖ 1 кв.2019г'!O17+'ТСЖ 2 кв.2019г '!I17</f>
        <v>233851.2</v>
      </c>
      <c r="L17" s="43"/>
      <c r="M17" s="33"/>
      <c r="N17" s="33"/>
      <c r="O17" s="33">
        <f t="shared" si="1"/>
        <v>233851.2</v>
      </c>
      <c r="P17" s="44">
        <v>378042.71</v>
      </c>
      <c r="Q17" s="46">
        <f t="shared" si="2"/>
        <v>51.874471123237264</v>
      </c>
      <c r="R17" s="56">
        <f t="shared" si="3"/>
        <v>232763.43999999989</v>
      </c>
      <c r="U17" s="48"/>
      <c r="V17" s="48">
        <f>'ТСЖ 1 кв.2019г'!J17-'ТСЖ 1 кв.2019г'!N17-0.09</f>
        <v>418545.47999999992</v>
      </c>
      <c r="W17" s="48">
        <f>47437.65</f>
        <v>47437.65</v>
      </c>
      <c r="X17" s="48">
        <v>631.51</v>
      </c>
      <c r="Y17" s="48">
        <v>212272.38</v>
      </c>
      <c r="AA17" s="50">
        <f>F17*G17*3</f>
        <v>47437.649999999994</v>
      </c>
      <c r="AB17" s="50">
        <f>AA17-W17</f>
        <v>0</v>
      </c>
      <c r="AC17" s="48">
        <f t="shared" si="6"/>
        <v>15812.550000000001</v>
      </c>
    </row>
    <row r="18" spans="1:29" s="49" customFormat="1" ht="45.75" thickBot="1">
      <c r="A18" s="32">
        <v>4</v>
      </c>
      <c r="B18" s="32" t="s">
        <v>28</v>
      </c>
      <c r="C18" s="32" t="s">
        <v>31</v>
      </c>
      <c r="D18" s="32"/>
      <c r="E18" s="32"/>
      <c r="F18" s="33">
        <v>3225.6</v>
      </c>
      <c r="G18" s="32">
        <v>5.3</v>
      </c>
      <c r="H18" s="58">
        <f>Y18+W18/3*2</f>
        <v>310306.90999999997</v>
      </c>
      <c r="I18" s="33">
        <v>79554.490000000005</v>
      </c>
      <c r="J18" s="33">
        <f t="shared" si="0"/>
        <v>377002.26</v>
      </c>
      <c r="K18" s="33">
        <f>'ТСЖ 1 кв.2019г'!O18+'ТСЖ 2 кв.2019г '!I18</f>
        <v>195660.21000000002</v>
      </c>
      <c r="L18" s="43"/>
      <c r="M18" s="33"/>
      <c r="N18" s="33"/>
      <c r="O18" s="33">
        <f t="shared" si="1"/>
        <v>195660.21000000002</v>
      </c>
      <c r="P18" s="44">
        <v>354498.41</v>
      </c>
      <c r="Q18" s="46">
        <f t="shared" si="2"/>
        <v>51.898948828582625</v>
      </c>
      <c r="R18" s="56">
        <f>J18-K18+AC18</f>
        <v>198437.72999999998</v>
      </c>
      <c r="S18" s="49" t="s">
        <v>113</v>
      </c>
      <c r="U18" s="48">
        <v>50000</v>
      </c>
      <c r="V18" s="48">
        <f>'ТСЖ 1 кв.2019г'!J18-'ТСЖ 1 кв.2019г'!N18+95348-U18</f>
        <v>342221.27</v>
      </c>
      <c r="W18" s="48">
        <f>51287.04</f>
        <v>51287.040000000001</v>
      </c>
      <c r="X18" s="48">
        <v>589.63</v>
      </c>
      <c r="Y18" s="48">
        <v>276115.55</v>
      </c>
      <c r="AA18" s="50">
        <f>F18*G18*3</f>
        <v>51287.040000000001</v>
      </c>
      <c r="AB18" s="50">
        <f t="shared" si="5"/>
        <v>0</v>
      </c>
      <c r="AC18" s="48">
        <f t="shared" si="6"/>
        <v>17095.68</v>
      </c>
    </row>
    <row r="19" spans="1:29" s="49" customFormat="1" ht="45.75" thickBot="1">
      <c r="A19" s="32">
        <v>5</v>
      </c>
      <c r="B19" s="32" t="s">
        <v>28</v>
      </c>
      <c r="C19" s="32" t="s">
        <v>33</v>
      </c>
      <c r="D19" s="32"/>
      <c r="E19" s="32"/>
      <c r="F19" s="33">
        <v>2135.5</v>
      </c>
      <c r="G19" s="32">
        <v>5.3</v>
      </c>
      <c r="H19" s="58">
        <f t="shared" si="7"/>
        <v>166619.57999999999</v>
      </c>
      <c r="I19" s="33">
        <v>25804.77</v>
      </c>
      <c r="J19" s="33">
        <f t="shared" si="0"/>
        <v>186508.21</v>
      </c>
      <c r="K19" s="33">
        <f>'ТСЖ 1 кв.2019г'!O19+'ТСЖ 2 кв.2019г '!I19</f>
        <v>95314.840000000011</v>
      </c>
      <c r="L19" s="43"/>
      <c r="M19" s="33"/>
      <c r="N19" s="33"/>
      <c r="O19" s="33">
        <f t="shared" si="1"/>
        <v>95314.840000000011</v>
      </c>
      <c r="P19" s="44">
        <v>309141.18</v>
      </c>
      <c r="Q19" s="46">
        <f t="shared" si="2"/>
        <v>51.104903103193152</v>
      </c>
      <c r="R19" s="56">
        <f t="shared" si="3"/>
        <v>102511.51999999997</v>
      </c>
      <c r="S19" s="57" t="s">
        <v>113</v>
      </c>
      <c r="T19" s="57"/>
      <c r="U19" s="56">
        <v>50000</v>
      </c>
      <c r="V19" s="48">
        <f>'ТСЖ 1 кв.2019г'!J19-'ТСЖ 1 кв.2019г'!N19+86716.99-U19</f>
        <v>163493.34</v>
      </c>
      <c r="W19" s="48">
        <f>33954.45</f>
        <v>33954.449999999997</v>
      </c>
      <c r="X19" s="48">
        <v>378.57</v>
      </c>
      <c r="Y19" s="48">
        <v>143983.28</v>
      </c>
      <c r="AA19" s="50">
        <f t="shared" si="4"/>
        <v>33954.449999999997</v>
      </c>
      <c r="AB19" s="50">
        <f t="shared" si="5"/>
        <v>0</v>
      </c>
      <c r="AC19" s="48">
        <f t="shared" si="6"/>
        <v>11318.15</v>
      </c>
    </row>
    <row r="20" spans="1:29" s="49" customFormat="1" ht="45.75" thickBot="1">
      <c r="A20" s="32">
        <v>6</v>
      </c>
      <c r="B20" s="32" t="s">
        <v>28</v>
      </c>
      <c r="C20" s="32" t="s">
        <v>34</v>
      </c>
      <c r="D20" s="32"/>
      <c r="E20" s="32"/>
      <c r="F20" s="33">
        <v>2823.8</v>
      </c>
      <c r="G20" s="32">
        <v>5.3</v>
      </c>
      <c r="H20" s="58">
        <f t="shared" si="7"/>
        <v>190681.77</v>
      </c>
      <c r="I20" s="33">
        <v>45026.05</v>
      </c>
      <c r="J20" s="33">
        <f t="shared" si="0"/>
        <v>729817.08</v>
      </c>
      <c r="K20" s="33">
        <f>'ТСЖ 1 кв.2019г'!O20+'ТСЖ 2 кв.2019г '!I20</f>
        <v>583762.23</v>
      </c>
      <c r="L20" s="33"/>
      <c r="M20" s="33"/>
      <c r="N20" s="33"/>
      <c r="O20" s="33">
        <f t="shared" si="1"/>
        <v>583762.23</v>
      </c>
      <c r="P20" s="44">
        <v>420551</v>
      </c>
      <c r="Q20" s="46">
        <f t="shared" si="2"/>
        <v>79.987471655226273</v>
      </c>
      <c r="R20" s="56">
        <f t="shared" si="3"/>
        <v>161020.99</v>
      </c>
      <c r="U20" s="48"/>
      <c r="V20" s="48">
        <f>'ТСЖ 1 кв.2019г'!J20-'ТСЖ 1 кв.2019г'!N20+19.18</f>
        <v>699485.66999999993</v>
      </c>
      <c r="W20" s="48">
        <f>44898.42</f>
        <v>44898.42</v>
      </c>
      <c r="X20" s="48">
        <v>399.13</v>
      </c>
      <c r="Y20" s="48">
        <v>160749.49</v>
      </c>
      <c r="AA20" s="50">
        <f t="shared" si="4"/>
        <v>44898.420000000006</v>
      </c>
      <c r="AB20" s="50">
        <f t="shared" si="5"/>
        <v>0</v>
      </c>
      <c r="AC20" s="48">
        <f t="shared" si="6"/>
        <v>14966.14</v>
      </c>
    </row>
    <row r="21" spans="1:29" s="49" customFormat="1" ht="45.75" thickBot="1">
      <c r="A21" s="32">
        <v>7</v>
      </c>
      <c r="B21" s="32" t="s">
        <v>28</v>
      </c>
      <c r="C21" s="32" t="s">
        <v>35</v>
      </c>
      <c r="D21" s="32"/>
      <c r="E21" s="32"/>
      <c r="F21" s="33">
        <v>1189</v>
      </c>
      <c r="G21" s="32">
        <v>5.3</v>
      </c>
      <c r="H21" s="58">
        <f t="shared" si="7"/>
        <v>124960.18999999999</v>
      </c>
      <c r="I21" s="33">
        <v>12888.85</v>
      </c>
      <c r="J21" s="33">
        <f t="shared" si="0"/>
        <v>360008.04000000004</v>
      </c>
      <c r="K21" s="33">
        <f>'ТСЖ 1 кв.2019г'!O21+'ТСЖ 2 кв.2019г '!I21</f>
        <v>247723.15000000002</v>
      </c>
      <c r="L21" s="33"/>
      <c r="M21" s="33"/>
      <c r="N21" s="33"/>
      <c r="O21" s="33">
        <f t="shared" si="1"/>
        <v>247723.15000000002</v>
      </c>
      <c r="P21" s="44">
        <v>124839.69</v>
      </c>
      <c r="Q21" s="46">
        <f t="shared" si="2"/>
        <v>68.810449344409079</v>
      </c>
      <c r="R21" s="56">
        <f t="shared" si="3"/>
        <v>118586.59000000001</v>
      </c>
      <c r="U21" s="48"/>
      <c r="V21" s="48">
        <f>'ТСЖ 1 кв.2019г'!J21-'ТСЖ 1 кв.2019г'!N21+10</f>
        <v>347191.09</v>
      </c>
      <c r="W21" s="48">
        <f>18905.1</f>
        <v>18905.099999999999</v>
      </c>
      <c r="X21" s="48">
        <v>213.55</v>
      </c>
      <c r="Y21" s="48">
        <v>112356.79</v>
      </c>
      <c r="AA21" s="50">
        <f t="shared" si="4"/>
        <v>18905.099999999999</v>
      </c>
      <c r="AB21" s="50">
        <f t="shared" si="5"/>
        <v>0</v>
      </c>
      <c r="AC21" s="48">
        <f t="shared" si="6"/>
        <v>6301.7</v>
      </c>
    </row>
    <row r="22" spans="1:29" s="49" customFormat="1" ht="45.75" thickBot="1">
      <c r="A22" s="32">
        <v>8</v>
      </c>
      <c r="B22" s="32" t="s">
        <v>28</v>
      </c>
      <c r="C22" s="32" t="s">
        <v>36</v>
      </c>
      <c r="D22" s="32"/>
      <c r="E22" s="32"/>
      <c r="F22" s="33">
        <v>2428.02</v>
      </c>
      <c r="G22" s="32">
        <v>5.3</v>
      </c>
      <c r="H22" s="58">
        <f t="shared" si="7"/>
        <v>115664.89</v>
      </c>
      <c r="I22" s="33">
        <v>30453.66</v>
      </c>
      <c r="J22" s="33">
        <f t="shared" si="0"/>
        <v>729223.05</v>
      </c>
      <c r="K22" s="33">
        <f>'ТСЖ 1 кв.2019г'!O22+'ТСЖ 2 кв.2019г '!I22</f>
        <v>643697.41</v>
      </c>
      <c r="L22" s="33"/>
      <c r="M22" s="33"/>
      <c r="N22" s="33"/>
      <c r="O22" s="33">
        <f t="shared" si="1"/>
        <v>643697.41</v>
      </c>
      <c r="P22" s="44">
        <v>388089.32</v>
      </c>
      <c r="Q22" s="46">
        <f t="shared" si="2"/>
        <v>88.271676272438185</v>
      </c>
      <c r="R22" s="56">
        <f t="shared" si="3"/>
        <v>98394.150000000009</v>
      </c>
      <c r="U22" s="48"/>
      <c r="V22" s="48">
        <f>'ТСЖ 1 кв.2019г'!J22-'ТСЖ 1 кв.2019г'!N22+25135.59</f>
        <v>703171.62</v>
      </c>
      <c r="W22" s="48">
        <f>38605.53</f>
        <v>38605.53</v>
      </c>
      <c r="X22" s="48">
        <v>314.41000000000003</v>
      </c>
      <c r="Y22" s="48">
        <v>89927.87</v>
      </c>
      <c r="AA22" s="50">
        <f t="shared" si="4"/>
        <v>38605.517999999996</v>
      </c>
      <c r="AB22" s="50">
        <f t="shared" si="5"/>
        <v>-1.2000000002444722E-2</v>
      </c>
      <c r="AC22" s="48">
        <f t="shared" si="6"/>
        <v>12868.51</v>
      </c>
    </row>
    <row r="23" spans="1:29" s="49" customFormat="1" ht="45.75" thickBot="1">
      <c r="A23" s="32">
        <v>9</v>
      </c>
      <c r="B23" s="32" t="s">
        <v>37</v>
      </c>
      <c r="C23" s="32" t="s">
        <v>38</v>
      </c>
      <c r="D23" s="32"/>
      <c r="E23" s="32"/>
      <c r="F23" s="33">
        <v>1135</v>
      </c>
      <c r="G23" s="32">
        <v>5.3</v>
      </c>
      <c r="H23" s="58">
        <f t="shared" si="7"/>
        <v>61132.18</v>
      </c>
      <c r="I23" s="33">
        <f>34218.85-9479.52+200</f>
        <v>24939.329999999998</v>
      </c>
      <c r="J23" s="33">
        <f t="shared" si="0"/>
        <v>114463.23999999999</v>
      </c>
      <c r="K23" s="33">
        <f>'ТСЖ 1 кв.2019г'!O23+'ТСЖ 2 кв.2019г '!I23</f>
        <v>77948.600000000006</v>
      </c>
      <c r="L23" s="43"/>
      <c r="M23" s="33"/>
      <c r="N23" s="33"/>
      <c r="O23" s="33">
        <f t="shared" si="1"/>
        <v>77948.600000000006</v>
      </c>
      <c r="P23" s="44">
        <v>146097.04999999999</v>
      </c>
      <c r="Q23" s="46">
        <f t="shared" si="2"/>
        <v>68.099243040822543</v>
      </c>
      <c r="R23" s="56">
        <f t="shared" si="3"/>
        <v>42530.139999999985</v>
      </c>
      <c r="U23" s="48"/>
      <c r="V23" s="48">
        <f>'ТСЖ 1 кв.2019г'!J23-'ТСЖ 1 кв.2019г'!N23+202.67</f>
        <v>102310.45</v>
      </c>
      <c r="W23" s="48">
        <f>18046.5</f>
        <v>18046.5</v>
      </c>
      <c r="X23" s="48">
        <v>121.79</v>
      </c>
      <c r="Y23" s="48">
        <v>49101.18</v>
      </c>
      <c r="AA23" s="50">
        <f t="shared" si="4"/>
        <v>18046.5</v>
      </c>
      <c r="AB23" s="50">
        <f t="shared" si="5"/>
        <v>0</v>
      </c>
      <c r="AC23" s="48">
        <f t="shared" si="6"/>
        <v>6015.5</v>
      </c>
    </row>
    <row r="24" spans="1:29" s="49" customFormat="1" ht="45.75" thickBot="1">
      <c r="A24" s="32">
        <v>10</v>
      </c>
      <c r="B24" s="32" t="s">
        <v>37</v>
      </c>
      <c r="C24" s="32" t="s">
        <v>40</v>
      </c>
      <c r="D24" s="32"/>
      <c r="E24" s="32"/>
      <c r="F24" s="33">
        <v>2119.3000000000002</v>
      </c>
      <c r="G24" s="32">
        <v>5.3</v>
      </c>
      <c r="H24" s="58">
        <f t="shared" si="7"/>
        <v>181385.03000000003</v>
      </c>
      <c r="I24" s="33">
        <v>35393.519999999997</v>
      </c>
      <c r="J24" s="33">
        <f t="shared" si="0"/>
        <v>76021.23</v>
      </c>
      <c r="K24" s="33">
        <f>'ТСЖ 1 кв.2019г'!O24+'ТСЖ 2 кв.2019г '!I24</f>
        <v>39646.129999999983</v>
      </c>
      <c r="L24" s="43"/>
      <c r="M24" s="33"/>
      <c r="N24" s="33"/>
      <c r="O24" s="33">
        <f t="shared" si="1"/>
        <v>39646.129999999983</v>
      </c>
      <c r="P24" s="44">
        <v>235115.53</v>
      </c>
      <c r="Q24" s="46">
        <f t="shared" si="2"/>
        <v>52.151392446557345</v>
      </c>
      <c r="R24" s="56">
        <f t="shared" si="3"/>
        <v>47607.390000000014</v>
      </c>
      <c r="S24" s="49" t="s">
        <v>113</v>
      </c>
      <c r="U24" s="56">
        <v>110000</v>
      </c>
      <c r="V24" s="48">
        <f>('ТСЖ 1 кв.2019г'!J24-'ТСЖ 1 кв.2019г'!N24)-U24</f>
        <v>53173.06</v>
      </c>
      <c r="W24" s="48">
        <f>33696.87</f>
        <v>33696.870000000003</v>
      </c>
      <c r="X24" s="48">
        <v>383.59</v>
      </c>
      <c r="Y24" s="48">
        <v>158920.45000000001</v>
      </c>
      <c r="Z24" s="48"/>
      <c r="AA24" s="50">
        <f t="shared" si="4"/>
        <v>33696.870000000003</v>
      </c>
      <c r="AB24" s="50">
        <f t="shared" si="5"/>
        <v>0</v>
      </c>
      <c r="AC24" s="48">
        <f t="shared" si="6"/>
        <v>11232.29</v>
      </c>
    </row>
    <row r="25" spans="1:29" s="49" customFormat="1" ht="45.75" thickBot="1">
      <c r="A25" s="32">
        <v>11</v>
      </c>
      <c r="B25" s="32" t="s">
        <v>28</v>
      </c>
      <c r="C25" s="32" t="s">
        <v>42</v>
      </c>
      <c r="D25" s="32"/>
      <c r="E25" s="32"/>
      <c r="F25" s="33">
        <v>2094.4</v>
      </c>
      <c r="G25" s="32">
        <v>5.3</v>
      </c>
      <c r="H25" s="58">
        <f t="shared" si="7"/>
        <v>128143.88</v>
      </c>
      <c r="I25" s="33">
        <v>41160.879999999997</v>
      </c>
      <c r="J25" s="33">
        <f t="shared" si="0"/>
        <v>181720.82</v>
      </c>
      <c r="K25" s="33">
        <f>'ТСЖ 1 кв.2019г'!O25+'ТСЖ 2 кв.2019г '!I25</f>
        <v>94482.510000000009</v>
      </c>
      <c r="L25" s="43"/>
      <c r="M25" s="33"/>
      <c r="N25" s="33"/>
      <c r="O25" s="33">
        <f t="shared" si="1"/>
        <v>94482.510000000009</v>
      </c>
      <c r="P25" s="44">
        <v>287247.24</v>
      </c>
      <c r="Q25" s="46">
        <f t="shared" si="2"/>
        <v>51.99322235063655</v>
      </c>
      <c r="R25" s="56">
        <f t="shared" si="3"/>
        <v>98338.63</v>
      </c>
      <c r="U25" s="48"/>
      <c r="V25" s="48">
        <f>'ТСЖ 1 кв.2019г'!J25-'ТСЖ 1 кв.2019г'!N25-0.33</f>
        <v>159264.87000000002</v>
      </c>
      <c r="W25" s="48">
        <f>33300.96</f>
        <v>33300.959999999999</v>
      </c>
      <c r="X25" s="48">
        <v>255.31</v>
      </c>
      <c r="Y25" s="48">
        <v>105943.24</v>
      </c>
      <c r="AA25" s="50">
        <f t="shared" si="4"/>
        <v>33300.959999999999</v>
      </c>
      <c r="AB25" s="50">
        <f t="shared" si="5"/>
        <v>0</v>
      </c>
      <c r="AC25" s="48">
        <f t="shared" si="6"/>
        <v>11100.32</v>
      </c>
    </row>
    <row r="26" spans="1:29" s="49" customFormat="1" ht="45.75" thickBot="1">
      <c r="A26" s="32">
        <v>12</v>
      </c>
      <c r="B26" s="32" t="s">
        <v>28</v>
      </c>
      <c r="C26" s="32" t="s">
        <v>72</v>
      </c>
      <c r="D26" s="32"/>
      <c r="E26" s="32"/>
      <c r="F26" s="33">
        <v>1947.3</v>
      </c>
      <c r="G26" s="32">
        <v>5.3</v>
      </c>
      <c r="H26" s="58">
        <f t="shared" si="7"/>
        <v>176710.42</v>
      </c>
      <c r="I26" s="33">
        <v>43398.94</v>
      </c>
      <c r="J26" s="33">
        <f t="shared" si="0"/>
        <v>340186.88</v>
      </c>
      <c r="K26" s="33">
        <f>'ТСЖ 1 кв.2019г'!O26+'ТСЖ 2 кв.2019г '!I26</f>
        <v>206441.46</v>
      </c>
      <c r="L26" s="43"/>
      <c r="M26" s="33"/>
      <c r="N26" s="33"/>
      <c r="O26" s="33">
        <f t="shared" si="1"/>
        <v>206441.46</v>
      </c>
      <c r="P26" s="44">
        <v>253163.82</v>
      </c>
      <c r="Q26" s="46">
        <f t="shared" si="2"/>
        <v>60.684721292014551</v>
      </c>
      <c r="R26" s="56">
        <f t="shared" si="3"/>
        <v>144066.11000000002</v>
      </c>
      <c r="U26" s="48"/>
      <c r="V26" s="48">
        <f>'ТСЖ 1 кв.2019г'!J26-'ТСЖ 1 кв.2019г'!N26-4.72</f>
        <v>319111.56</v>
      </c>
      <c r="W26" s="48">
        <f>30962.07</f>
        <v>30962.07</v>
      </c>
      <c r="X26" s="48">
        <v>433.94</v>
      </c>
      <c r="Y26" s="48">
        <v>156069.04</v>
      </c>
      <c r="AA26" s="50">
        <f t="shared" si="4"/>
        <v>30962.069999999996</v>
      </c>
      <c r="AB26" s="50">
        <f t="shared" si="5"/>
        <v>0</v>
      </c>
      <c r="AC26" s="48">
        <f t="shared" si="6"/>
        <v>10320.69</v>
      </c>
    </row>
    <row r="27" spans="1:29" s="49" customFormat="1" ht="45.75" thickBot="1">
      <c r="A27" s="32">
        <v>13</v>
      </c>
      <c r="B27" s="32" t="s">
        <v>28</v>
      </c>
      <c r="C27" s="32" t="s">
        <v>73</v>
      </c>
      <c r="D27" s="32"/>
      <c r="E27" s="32"/>
      <c r="F27" s="33">
        <v>1699.9</v>
      </c>
      <c r="G27" s="32">
        <v>5.3</v>
      </c>
      <c r="H27" s="58">
        <f t="shared" si="7"/>
        <v>125159.11</v>
      </c>
      <c r="I27" s="33">
        <f>51071.88-24302.88</f>
        <v>26768.999999999996</v>
      </c>
      <c r="J27" s="33">
        <f t="shared" si="0"/>
        <v>304179.89</v>
      </c>
      <c r="K27" s="33">
        <f>'ТСЖ 1 кв.2019г'!O27+'ТСЖ 2 кв.2019г '!I27</f>
        <v>205530.34000000003</v>
      </c>
      <c r="L27" s="43"/>
      <c r="M27" s="33"/>
      <c r="N27" s="33"/>
      <c r="O27" s="33">
        <f t="shared" si="1"/>
        <v>205530.34000000003</v>
      </c>
      <c r="P27" s="44">
        <v>252978.03</v>
      </c>
      <c r="Q27" s="46">
        <f t="shared" si="2"/>
        <v>67.568681151143835</v>
      </c>
      <c r="R27" s="56">
        <f t="shared" si="3"/>
        <v>107659.01999999999</v>
      </c>
      <c r="U27" s="48"/>
      <c r="V27" s="48">
        <f>'ТСЖ 1 кв.2019г'!J27-'ТСЖ 1 кв.2019г'!N27</f>
        <v>285901.51</v>
      </c>
      <c r="W27" s="48">
        <f>27028.41</f>
        <v>27028.41</v>
      </c>
      <c r="X27" s="48">
        <v>259.44</v>
      </c>
      <c r="Y27" s="48">
        <v>107140.17</v>
      </c>
      <c r="AA27" s="50">
        <f t="shared" si="4"/>
        <v>27028.409999999996</v>
      </c>
      <c r="AB27" s="50">
        <f t="shared" si="5"/>
        <v>0</v>
      </c>
      <c r="AC27" s="48">
        <f t="shared" si="6"/>
        <v>9009.4699999999993</v>
      </c>
    </row>
    <row r="28" spans="1:29" s="49" customFormat="1" ht="45.75" thickBot="1">
      <c r="A28" s="32">
        <v>14</v>
      </c>
      <c r="B28" s="32" t="s">
        <v>28</v>
      </c>
      <c r="C28" s="32" t="s">
        <v>74</v>
      </c>
      <c r="D28" s="32"/>
      <c r="E28" s="32"/>
      <c r="F28" s="33">
        <v>2087.9</v>
      </c>
      <c r="G28" s="32">
        <v>5.3</v>
      </c>
      <c r="H28" s="58">
        <f t="shared" si="7"/>
        <v>120112.36</v>
      </c>
      <c r="I28" s="33">
        <f>59111.57-3200</f>
        <v>55911.57</v>
      </c>
      <c r="J28" s="33">
        <f t="shared" si="0"/>
        <v>632453.44000000006</v>
      </c>
      <c r="K28" s="33">
        <f>'ТСЖ 1 кв.2019г'!O28+'ТСЖ 2 кв.2019г '!I28</f>
        <v>568030.84</v>
      </c>
      <c r="L28" s="33"/>
      <c r="M28" s="33"/>
      <c r="N28" s="33"/>
      <c r="O28" s="33">
        <f t="shared" si="1"/>
        <v>568030.84</v>
      </c>
      <c r="P28" s="44">
        <v>243907.98</v>
      </c>
      <c r="Q28" s="46">
        <f t="shared" si="2"/>
        <v>89.813858866828184</v>
      </c>
      <c r="R28" s="56">
        <f t="shared" si="3"/>
        <v>75488.470000000088</v>
      </c>
      <c r="U28" s="48"/>
      <c r="V28" s="48">
        <f>'ТСЖ 1 кв.2019г'!J28-'ТСЖ 1 кв.2019г'!N28</f>
        <v>610099.89</v>
      </c>
      <c r="W28" s="48">
        <f>33197.61</f>
        <v>33197.61</v>
      </c>
      <c r="X28" s="48">
        <v>221.81</v>
      </c>
      <c r="Y28" s="48">
        <v>97980.62</v>
      </c>
      <c r="AA28" s="50">
        <f t="shared" si="4"/>
        <v>33197.61</v>
      </c>
      <c r="AB28" s="50">
        <f t="shared" si="5"/>
        <v>0</v>
      </c>
      <c r="AC28" s="48">
        <f t="shared" si="6"/>
        <v>11065.87</v>
      </c>
    </row>
    <row r="29" spans="1:29" s="49" customFormat="1" ht="45.75" thickBot="1">
      <c r="A29" s="32">
        <v>15</v>
      </c>
      <c r="B29" s="32" t="s">
        <v>28</v>
      </c>
      <c r="C29" s="32" t="s">
        <v>75</v>
      </c>
      <c r="D29" s="32"/>
      <c r="E29" s="32"/>
      <c r="F29" s="32">
        <v>2085.9</v>
      </c>
      <c r="G29" s="32">
        <v>5.3</v>
      </c>
      <c r="H29" s="58">
        <f t="shared" si="7"/>
        <v>106098.95999999999</v>
      </c>
      <c r="I29" s="33">
        <v>24245.16</v>
      </c>
      <c r="J29" s="33">
        <f t="shared" si="0"/>
        <v>628739.71</v>
      </c>
      <c r="K29" s="33">
        <f>'ТСЖ 1 кв.2019г'!O29+'ТСЖ 2 кв.2019г '!I29</f>
        <v>546582.32000000007</v>
      </c>
      <c r="L29" s="33"/>
      <c r="M29" s="33"/>
      <c r="N29" s="33"/>
      <c r="O29" s="33">
        <f t="shared" si="1"/>
        <v>546582.32000000007</v>
      </c>
      <c r="P29" s="44">
        <v>223464.31</v>
      </c>
      <c r="Q29" s="46">
        <f t="shared" si="2"/>
        <v>86.933004438354956</v>
      </c>
      <c r="R29" s="56">
        <f t="shared" si="3"/>
        <v>93212.659999999902</v>
      </c>
      <c r="U29" s="48"/>
      <c r="V29" s="48">
        <f>'ТСЖ 1 кв.2019г'!J29-'ТСЖ 1 кв.2019г'!N29-84.8</f>
        <v>606240.77999999991</v>
      </c>
      <c r="W29" s="48">
        <f>33165.81</f>
        <v>33165.81</v>
      </c>
      <c r="X29" s="48">
        <v>388.39</v>
      </c>
      <c r="Y29" s="48">
        <v>83988.42</v>
      </c>
      <c r="AA29" s="50">
        <f t="shared" si="4"/>
        <v>33165.81</v>
      </c>
      <c r="AB29" s="50">
        <f t="shared" si="5"/>
        <v>0</v>
      </c>
      <c r="AC29" s="48">
        <f t="shared" si="6"/>
        <v>11055.269999999999</v>
      </c>
    </row>
    <row r="30" spans="1:29">
      <c r="A30" s="2"/>
      <c r="R30" s="3">
        <f>SUM(R15:R29)</f>
        <v>1956448.8</v>
      </c>
      <c r="S30" s="3">
        <f t="shared" ref="S30:T30" si="8">SUM(S15:S29)</f>
        <v>0</v>
      </c>
      <c r="T30" s="3">
        <f t="shared" si="8"/>
        <v>0</v>
      </c>
      <c r="U30" s="3">
        <f>SUM(U15:U29)</f>
        <v>210000</v>
      </c>
      <c r="W30" s="3">
        <f t="shared" ref="W30:X30" si="9">SUM(W15:W29)</f>
        <v>550366.11</v>
      </c>
      <c r="X30" s="3">
        <f t="shared" si="9"/>
        <v>5805.43</v>
      </c>
      <c r="Y30" s="3">
        <f>SUM(Y15:Y29)</f>
        <v>2171778.8199999998</v>
      </c>
    </row>
    <row r="31" spans="1:29" ht="15.75">
      <c r="A31" s="4" t="s">
        <v>76</v>
      </c>
      <c r="C31" s="17" t="s">
        <v>114</v>
      </c>
      <c r="D31" s="17"/>
      <c r="E31" s="17"/>
      <c r="F31" s="17"/>
      <c r="G31" s="17"/>
      <c r="H31" s="17"/>
      <c r="I31" s="26"/>
      <c r="U31" s="3">
        <f>R30+U30</f>
        <v>2166448.7999999998</v>
      </c>
      <c r="W31" s="3">
        <f>550366.11</f>
        <v>550366.11</v>
      </c>
    </row>
    <row r="32" spans="1:29" ht="15.75">
      <c r="A32" s="2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W32" s="3">
        <f>W30-W31</f>
        <v>0</v>
      </c>
    </row>
    <row r="33" spans="1:28" ht="15.75">
      <c r="A33" s="2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28">
      <c r="A34" s="2"/>
    </row>
    <row r="35" spans="1:28" s="27" customFormat="1" ht="15.75">
      <c r="A35" s="4" t="str">
        <f>'УК 2 кв. 2019г '!A26</f>
        <v xml:space="preserve"> « 04 » июля  2019г.</v>
      </c>
      <c r="I35" s="28"/>
      <c r="U35" s="28"/>
      <c r="V35" s="28"/>
      <c r="W35" s="28"/>
      <c r="X35" s="28"/>
      <c r="Y35" s="28"/>
      <c r="AA35" s="28"/>
      <c r="AB35" s="28"/>
    </row>
    <row r="36" spans="1:28" s="27" customFormat="1" ht="15.75">
      <c r="A36" s="4"/>
      <c r="I36" s="28"/>
      <c r="U36" s="28"/>
      <c r="V36" s="28"/>
      <c r="W36" s="28"/>
      <c r="X36" s="28"/>
      <c r="Y36" s="28"/>
      <c r="AA36" s="28"/>
      <c r="AB36" s="28"/>
    </row>
    <row r="37" spans="1:28" s="27" customFormat="1" ht="15.75">
      <c r="A37" s="4"/>
      <c r="I37" s="28"/>
      <c r="U37" s="28"/>
      <c r="V37" s="28"/>
      <c r="W37" s="28"/>
      <c r="X37" s="28"/>
      <c r="Y37" s="28"/>
      <c r="AA37" s="28"/>
      <c r="AB37" s="28"/>
    </row>
    <row r="38" spans="1:28" s="27" customFormat="1" ht="15.75">
      <c r="A38" s="4" t="s">
        <v>47</v>
      </c>
      <c r="I38" s="28"/>
      <c r="U38" s="28"/>
      <c r="V38" s="28"/>
      <c r="W38" s="28"/>
      <c r="X38" s="28"/>
      <c r="Y38" s="28"/>
      <c r="AA38" s="28"/>
      <c r="AB38" s="28"/>
    </row>
    <row r="39" spans="1:28" s="27" customFormat="1" ht="15.75">
      <c r="A39" s="30" t="s">
        <v>48</v>
      </c>
      <c r="I39" s="28"/>
      <c r="U39" s="28"/>
      <c r="V39" s="28"/>
      <c r="W39" s="28"/>
      <c r="X39" s="28"/>
      <c r="Y39" s="28"/>
      <c r="AA39" s="28"/>
      <c r="AB39" s="28"/>
    </row>
    <row r="40" spans="1:28">
      <c r="A40" s="1"/>
    </row>
    <row r="41" spans="1:28">
      <c r="A41" s="1"/>
      <c r="K41" s="3">
        <f>SUM(K15:K29)</f>
        <v>5354290.7799999993</v>
      </c>
    </row>
    <row r="42" spans="1:28">
      <c r="A42" s="1"/>
    </row>
    <row r="43" spans="1:28">
      <c r="A43" s="1"/>
    </row>
    <row r="44" spans="1:28">
      <c r="A44" s="1"/>
    </row>
    <row r="45" spans="1:28">
      <c r="A45" s="1"/>
    </row>
    <row r="46" spans="1:28">
      <c r="A46" s="1"/>
    </row>
    <row r="47" spans="1:28">
      <c r="A47" s="1"/>
    </row>
    <row r="48" spans="1:28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</sheetData>
  <mergeCells count="26">
    <mergeCell ref="C32:O32"/>
    <mergeCell ref="C33:O33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  <mergeCell ref="A1:O1"/>
    <mergeCell ref="A2:O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74803149606299213" bottom="0.35433070866141736" header="0.31496062992125984" footer="0.31496062992125984"/>
  <pageSetup paperSize="9" scale="31" fitToHeight="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4"/>
  <sheetViews>
    <sheetView topLeftCell="A11" workbookViewId="0">
      <selection activeCell="W28" sqref="W28"/>
    </sheetView>
  </sheetViews>
  <sheetFormatPr defaultRowHeight="15"/>
  <cols>
    <col min="1" max="1" width="6.140625" customWidth="1"/>
    <col min="3" max="3" width="15.42578125" customWidth="1"/>
    <col min="9" max="9" width="13.5703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4.42578125" customWidth="1"/>
    <col min="15" max="15" width="13" customWidth="1"/>
    <col min="16" max="16" width="11.28515625" hidden="1" customWidth="1"/>
    <col min="17" max="17" width="9.140625" customWidth="1"/>
    <col min="18" max="18" width="11.7109375" customWidth="1"/>
    <col min="20" max="20" width="10" bestFit="1" customWidth="1"/>
    <col min="21" max="21" width="12.140625" style="3" customWidth="1"/>
    <col min="22" max="22" width="11.42578125" style="3" bestFit="1" customWidth="1"/>
    <col min="23" max="23" width="10" style="3" customWidth="1"/>
    <col min="24" max="24" width="10" style="3" bestFit="1" customWidth="1"/>
  </cols>
  <sheetData>
    <row r="1" spans="1:24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U1" s="26"/>
      <c r="V1" s="26"/>
      <c r="W1" s="26"/>
      <c r="X1" s="26"/>
    </row>
    <row r="2" spans="1:24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U2" s="26"/>
      <c r="V2" s="26"/>
      <c r="W2" s="26"/>
      <c r="X2" s="26"/>
    </row>
    <row r="3" spans="1:24" s="13" customFormat="1" ht="15.75">
      <c r="A3" s="158" t="str">
        <f>'УК 1кв. 2019г'!A6:O6</f>
        <v xml:space="preserve">по состоянию за 1 квартал 2019 года на 01 апреля 2019 года 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U3" s="37"/>
      <c r="V3" s="37"/>
      <c r="W3" s="37"/>
      <c r="X3" s="37"/>
    </row>
    <row r="4" spans="1:24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  <c r="U4" s="37"/>
      <c r="V4" s="37"/>
      <c r="W4" s="37"/>
      <c r="X4" s="37"/>
    </row>
    <row r="5" spans="1:24" s="13" customFormat="1" ht="14.2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  <c r="U5" s="37"/>
      <c r="V5" s="37"/>
      <c r="W5" s="37"/>
      <c r="X5" s="37"/>
    </row>
    <row r="6" spans="1:24" s="13" customFormat="1" ht="15.75">
      <c r="A6" s="1" t="s">
        <v>7</v>
      </c>
      <c r="D6" s="18" t="s">
        <v>68</v>
      </c>
      <c r="E6" s="17"/>
      <c r="F6" s="17"/>
      <c r="G6" s="17"/>
      <c r="H6" s="17"/>
      <c r="U6" s="37"/>
      <c r="V6" s="37"/>
      <c r="W6" s="37"/>
      <c r="X6" s="37"/>
    </row>
    <row r="7" spans="1:24" s="13" customFormat="1">
      <c r="A7" s="1" t="s">
        <v>8</v>
      </c>
      <c r="U7" s="37"/>
      <c r="V7" s="37"/>
      <c r="W7" s="37"/>
      <c r="X7" s="37"/>
    </row>
    <row r="8" spans="1:24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  <c r="U8" s="37"/>
      <c r="V8" s="37"/>
      <c r="W8" s="37"/>
      <c r="X8" s="37"/>
    </row>
    <row r="9" spans="1:24" s="13" customFormat="1" ht="15.75">
      <c r="A9" s="18" t="s">
        <v>69</v>
      </c>
      <c r="U9" s="37"/>
      <c r="V9" s="37"/>
      <c r="W9" s="37"/>
      <c r="X9" s="37"/>
    </row>
    <row r="10" spans="1:24" s="13" customFormat="1" ht="15.75">
      <c r="A10" s="18" t="s">
        <v>70</v>
      </c>
      <c r="U10" s="37"/>
      <c r="V10" s="37"/>
      <c r="W10" s="37"/>
      <c r="X10" s="37"/>
    </row>
    <row r="11" spans="1:24" s="38" customFormat="1" ht="42" customHeight="1">
      <c r="A11" s="220" t="s">
        <v>10</v>
      </c>
      <c r="B11" s="224" t="s">
        <v>11</v>
      </c>
      <c r="C11" s="220" t="s">
        <v>12</v>
      </c>
      <c r="D11" s="220" t="s">
        <v>13</v>
      </c>
      <c r="E11" s="220" t="s">
        <v>14</v>
      </c>
      <c r="F11" s="220" t="s">
        <v>15</v>
      </c>
      <c r="G11" s="220" t="s">
        <v>16</v>
      </c>
      <c r="H11" s="223" t="s">
        <v>17</v>
      </c>
      <c r="I11" s="223"/>
      <c r="J11" s="223" t="s">
        <v>18</v>
      </c>
      <c r="K11" s="223"/>
      <c r="L11" s="223" t="s">
        <v>19</v>
      </c>
      <c r="M11" s="223"/>
      <c r="N11" s="223"/>
      <c r="O11" s="223" t="s">
        <v>20</v>
      </c>
      <c r="Q11" s="217" t="s">
        <v>102</v>
      </c>
      <c r="U11" s="39"/>
      <c r="V11" s="39"/>
      <c r="W11" s="39"/>
      <c r="X11" s="39"/>
    </row>
    <row r="12" spans="1:24" s="38" customFormat="1" ht="12.75">
      <c r="A12" s="221"/>
      <c r="B12" s="225"/>
      <c r="C12" s="221"/>
      <c r="D12" s="221"/>
      <c r="E12" s="221"/>
      <c r="F12" s="221"/>
      <c r="G12" s="221"/>
      <c r="H12" s="223" t="s">
        <v>21</v>
      </c>
      <c r="I12" s="223" t="s">
        <v>22</v>
      </c>
      <c r="J12" s="223" t="s">
        <v>23</v>
      </c>
      <c r="K12" s="223" t="s">
        <v>24</v>
      </c>
      <c r="L12" s="223" t="s">
        <v>25</v>
      </c>
      <c r="M12" s="223" t="s">
        <v>26</v>
      </c>
      <c r="N12" s="223" t="s">
        <v>27</v>
      </c>
      <c r="O12" s="223"/>
      <c r="Q12" s="218"/>
      <c r="U12" s="39"/>
      <c r="V12" s="39"/>
      <c r="W12" s="39"/>
      <c r="X12" s="39"/>
    </row>
    <row r="13" spans="1:24" s="38" customFormat="1" ht="99" customHeight="1">
      <c r="A13" s="222"/>
      <c r="B13" s="226"/>
      <c r="C13" s="222"/>
      <c r="D13" s="222"/>
      <c r="E13" s="222"/>
      <c r="F13" s="222"/>
      <c r="G13" s="222"/>
      <c r="H13" s="223"/>
      <c r="I13" s="223"/>
      <c r="J13" s="223"/>
      <c r="K13" s="223"/>
      <c r="L13" s="223"/>
      <c r="M13" s="223"/>
      <c r="N13" s="223"/>
      <c r="O13" s="223"/>
      <c r="Q13" s="219"/>
      <c r="U13" s="39"/>
      <c r="V13" s="39"/>
      <c r="W13" s="39"/>
      <c r="X13" s="39"/>
    </row>
    <row r="14" spans="1:24" s="13" customFormat="1">
      <c r="A14" s="7">
        <v>1</v>
      </c>
      <c r="B14" s="6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  <c r="O14" s="8">
        <v>14</v>
      </c>
      <c r="Q14" s="45"/>
      <c r="U14" s="37"/>
      <c r="V14" s="37"/>
      <c r="W14" s="37"/>
      <c r="X14" s="37"/>
    </row>
    <row r="15" spans="1:24" s="41" customFormat="1" ht="45.75" thickBot="1">
      <c r="A15" s="32">
        <v>1</v>
      </c>
      <c r="B15" s="32" t="s">
        <v>28</v>
      </c>
      <c r="C15" s="32" t="s">
        <v>29</v>
      </c>
      <c r="D15" s="32"/>
      <c r="E15" s="32"/>
      <c r="F15" s="40">
        <v>4750.3</v>
      </c>
      <c r="G15" s="32">
        <v>5.3</v>
      </c>
      <c r="H15" s="32"/>
      <c r="I15" s="33">
        <v>115670.15</v>
      </c>
      <c r="J15" s="33">
        <f t="shared" ref="J15:J16" si="0">V15+W15</f>
        <v>1386638.71</v>
      </c>
      <c r="K15" s="33">
        <f t="shared" ref="K15:K16" si="1">X15+I15</f>
        <v>1049680.67</v>
      </c>
      <c r="L15" s="33"/>
      <c r="M15" s="33"/>
      <c r="N15" s="33"/>
      <c r="O15" s="33">
        <f>U15+I15-N15</f>
        <v>1049680.67</v>
      </c>
      <c r="P15" s="44">
        <v>520817.08</v>
      </c>
      <c r="Q15" s="46">
        <f>K15/J15*100</f>
        <v>75.699651425424292</v>
      </c>
      <c r="R15" s="41">
        <v>75529.77</v>
      </c>
      <c r="U15" s="42">
        <v>934010.52</v>
      </c>
      <c r="V15" s="42">
        <v>1310942.93</v>
      </c>
      <c r="W15" s="42">
        <f>75529.77+166.01</f>
        <v>75695.78</v>
      </c>
      <c r="X15" s="42">
        <v>934010.52</v>
      </c>
    </row>
    <row r="16" spans="1:24" s="41" customFormat="1" ht="45.75" thickBot="1">
      <c r="A16" s="32">
        <v>2</v>
      </c>
      <c r="B16" s="32" t="s">
        <v>28</v>
      </c>
      <c r="C16" s="32" t="s">
        <v>30</v>
      </c>
      <c r="D16" s="32"/>
      <c r="E16" s="32"/>
      <c r="F16" s="40">
        <v>1908.8</v>
      </c>
      <c r="G16" s="32">
        <v>5.3</v>
      </c>
      <c r="H16" s="32"/>
      <c r="I16" s="33">
        <v>39771.339999999997</v>
      </c>
      <c r="J16" s="33">
        <f t="shared" si="0"/>
        <v>556687.01</v>
      </c>
      <c r="K16" s="33">
        <f t="shared" si="1"/>
        <v>476110.72</v>
      </c>
      <c r="L16" s="33"/>
      <c r="M16" s="33"/>
      <c r="N16" s="33"/>
      <c r="O16" s="33">
        <f t="shared" ref="O16:O29" si="2">U16+I16-N16</f>
        <v>476110.72</v>
      </c>
      <c r="P16" s="44">
        <v>264064.82</v>
      </c>
      <c r="Q16" s="46">
        <f t="shared" ref="Q16:Q29" si="3">K16/J16*100</f>
        <v>85.525746325569912</v>
      </c>
      <c r="R16" s="41">
        <v>30349.919999999998</v>
      </c>
      <c r="U16" s="42">
        <v>436339.38</v>
      </c>
      <c r="V16" s="42">
        <v>526282.04</v>
      </c>
      <c r="W16" s="42">
        <f>30349.92+55.05</f>
        <v>30404.969999999998</v>
      </c>
      <c r="X16" s="42">
        <v>436339.38</v>
      </c>
    </row>
    <row r="17" spans="1:24" s="41" customFormat="1" ht="45.75" thickBot="1">
      <c r="A17" s="32">
        <v>3</v>
      </c>
      <c r="B17" s="32" t="s">
        <v>28</v>
      </c>
      <c r="C17" s="32" t="s">
        <v>71</v>
      </c>
      <c r="D17" s="32"/>
      <c r="E17" s="32"/>
      <c r="F17" s="40">
        <v>1908.8</v>
      </c>
      <c r="G17" s="32">
        <v>5.3</v>
      </c>
      <c r="H17" s="32"/>
      <c r="I17" s="33">
        <v>90645.53</v>
      </c>
      <c r="J17" s="33">
        <f>V17+W17</f>
        <v>418545.56999999995</v>
      </c>
      <c r="K17" s="33">
        <f>X17+I17</f>
        <v>206273.1</v>
      </c>
      <c r="L17" s="43"/>
      <c r="M17" s="33"/>
      <c r="N17" s="33"/>
      <c r="O17" s="33">
        <f t="shared" si="2"/>
        <v>206273.1</v>
      </c>
      <c r="P17" s="44">
        <v>378042.71</v>
      </c>
      <c r="Q17" s="46">
        <f t="shared" si="3"/>
        <v>49.283307430538578</v>
      </c>
      <c r="R17" s="41">
        <v>47437.65</v>
      </c>
      <c r="U17" s="42">
        <v>115627.57</v>
      </c>
      <c r="V17" s="42">
        <f>573992.35-203000</f>
        <v>370992.35</v>
      </c>
      <c r="W17" s="42">
        <f>47437.65+115.57</f>
        <v>47553.22</v>
      </c>
      <c r="X17" s="42">
        <f>318627.57-203000</f>
        <v>115627.57</v>
      </c>
    </row>
    <row r="18" spans="1:24" s="41" customFormat="1" ht="45.75" thickBot="1">
      <c r="A18" s="32">
        <v>4</v>
      </c>
      <c r="B18" s="32" t="s">
        <v>28</v>
      </c>
      <c r="C18" s="32" t="s">
        <v>31</v>
      </c>
      <c r="D18" s="32"/>
      <c r="E18" s="32"/>
      <c r="F18" s="32" t="s">
        <v>32</v>
      </c>
      <c r="G18" s="32">
        <v>5.3</v>
      </c>
      <c r="H18" s="32"/>
      <c r="I18" s="33">
        <v>75754.19</v>
      </c>
      <c r="J18" s="33">
        <f t="shared" ref="J18:J29" si="4">V18+W18</f>
        <v>296873.27</v>
      </c>
      <c r="K18" s="33">
        <f t="shared" ref="K18:K29" si="5">X18+I18</f>
        <v>116105.72</v>
      </c>
      <c r="L18" s="43"/>
      <c r="M18" s="33"/>
      <c r="N18" s="33"/>
      <c r="O18" s="33">
        <f t="shared" si="2"/>
        <v>116105.72</v>
      </c>
      <c r="P18" s="44">
        <v>354498.41</v>
      </c>
      <c r="Q18" s="46">
        <f t="shared" si="3"/>
        <v>39.109523063494393</v>
      </c>
      <c r="R18" s="41">
        <v>51287.040000000001</v>
      </c>
      <c r="U18" s="42">
        <v>40351.53</v>
      </c>
      <c r="V18" s="42">
        <f>448449.93-203000</f>
        <v>245449.93</v>
      </c>
      <c r="W18" s="42">
        <f>51287.04+136.3</f>
        <v>51423.340000000004</v>
      </c>
      <c r="X18" s="42">
        <f>243351.53-203000</f>
        <v>40351.53</v>
      </c>
    </row>
    <row r="19" spans="1:24" s="41" customFormat="1" ht="45.75" thickBot="1">
      <c r="A19" s="32">
        <v>5</v>
      </c>
      <c r="B19" s="32" t="s">
        <v>28</v>
      </c>
      <c r="C19" s="32" t="s">
        <v>33</v>
      </c>
      <c r="D19" s="32"/>
      <c r="E19" s="32"/>
      <c r="F19" s="33">
        <v>2135.5</v>
      </c>
      <c r="G19" s="32">
        <v>5.3</v>
      </c>
      <c r="H19" s="32"/>
      <c r="I19" s="33">
        <v>35419.699999999997</v>
      </c>
      <c r="J19" s="33">
        <f t="shared" si="4"/>
        <v>126776.34999999999</v>
      </c>
      <c r="K19" s="33">
        <f t="shared" si="5"/>
        <v>69510.069999999992</v>
      </c>
      <c r="L19" s="43"/>
      <c r="M19" s="33"/>
      <c r="N19" s="33"/>
      <c r="O19" s="33">
        <f t="shared" si="2"/>
        <v>69510.070000000007</v>
      </c>
      <c r="P19" s="44">
        <v>309141.18</v>
      </c>
      <c r="Q19" s="46">
        <f t="shared" si="3"/>
        <v>54.828893559405991</v>
      </c>
      <c r="R19" s="41">
        <v>33954.449999999997</v>
      </c>
      <c r="U19" s="42">
        <v>34090.370000000003</v>
      </c>
      <c r="V19" s="42">
        <f>159482.02-66733.78</f>
        <v>92748.239999999991</v>
      </c>
      <c r="W19" s="42">
        <f>33954.45+73.66</f>
        <v>34028.11</v>
      </c>
      <c r="X19" s="42">
        <f>100824.15-66733.78</f>
        <v>34090.369999999995</v>
      </c>
    </row>
    <row r="20" spans="1:24" s="41" customFormat="1" ht="45.75" thickBot="1">
      <c r="A20" s="32">
        <v>6</v>
      </c>
      <c r="B20" s="32" t="s">
        <v>28</v>
      </c>
      <c r="C20" s="32" t="s">
        <v>34</v>
      </c>
      <c r="D20" s="32"/>
      <c r="E20" s="32"/>
      <c r="F20" s="33">
        <v>2828.3</v>
      </c>
      <c r="G20" s="32">
        <v>5.3</v>
      </c>
      <c r="H20" s="32"/>
      <c r="I20" s="33">
        <v>37418.269999999997</v>
      </c>
      <c r="J20" s="33">
        <f t="shared" si="4"/>
        <v>699466.48999999987</v>
      </c>
      <c r="K20" s="33">
        <f t="shared" si="5"/>
        <v>538736.17999999993</v>
      </c>
      <c r="L20" s="33"/>
      <c r="M20" s="33"/>
      <c r="N20" s="33"/>
      <c r="O20" s="33">
        <f t="shared" si="2"/>
        <v>538736.17999999993</v>
      </c>
      <c r="P20" s="44">
        <v>420551</v>
      </c>
      <c r="Q20" s="46">
        <f t="shared" si="3"/>
        <v>77.021013544194233</v>
      </c>
      <c r="R20" s="41">
        <v>44898.42</v>
      </c>
      <c r="U20" s="42">
        <v>501317.91</v>
      </c>
      <c r="V20" s="42">
        <f>741017.7-86532.8</f>
        <v>654484.89999999991</v>
      </c>
      <c r="W20" s="42">
        <f>44898.42+83.17</f>
        <v>44981.59</v>
      </c>
      <c r="X20" s="42">
        <f>587850.71-86532.8</f>
        <v>501317.91</v>
      </c>
    </row>
    <row r="21" spans="1:24" s="41" customFormat="1" ht="45.75" thickBot="1">
      <c r="A21" s="32">
        <v>7</v>
      </c>
      <c r="B21" s="32" t="s">
        <v>28</v>
      </c>
      <c r="C21" s="32" t="s">
        <v>35</v>
      </c>
      <c r="D21" s="32"/>
      <c r="E21" s="32"/>
      <c r="F21" s="33">
        <v>1189</v>
      </c>
      <c r="G21" s="32">
        <v>5.3</v>
      </c>
      <c r="H21" s="32"/>
      <c r="I21" s="33">
        <v>11703.54</v>
      </c>
      <c r="J21" s="33">
        <f t="shared" si="4"/>
        <v>347181.09</v>
      </c>
      <c r="K21" s="33">
        <f t="shared" si="5"/>
        <v>234834.30000000002</v>
      </c>
      <c r="L21" s="33"/>
      <c r="M21" s="33"/>
      <c r="N21" s="33"/>
      <c r="O21" s="33">
        <f t="shared" si="2"/>
        <v>234834.30000000002</v>
      </c>
      <c r="P21" s="44">
        <v>124839.69</v>
      </c>
      <c r="Q21" s="46">
        <f t="shared" si="3"/>
        <v>67.640291122998661</v>
      </c>
      <c r="R21" s="41">
        <v>18905.099999999999</v>
      </c>
      <c r="U21" s="42">
        <v>223130.76</v>
      </c>
      <c r="V21" s="42">
        <v>328231.83</v>
      </c>
      <c r="W21" s="42">
        <f>18905.1+44.16</f>
        <v>18949.259999999998</v>
      </c>
      <c r="X21" s="42">
        <v>223130.76</v>
      </c>
    </row>
    <row r="22" spans="1:24" s="41" customFormat="1" ht="45.75" thickBot="1">
      <c r="A22" s="32">
        <v>8</v>
      </c>
      <c r="B22" s="32" t="s">
        <v>28</v>
      </c>
      <c r="C22" s="32" t="s">
        <v>36</v>
      </c>
      <c r="D22" s="32"/>
      <c r="E22" s="32"/>
      <c r="F22" s="33">
        <v>2428.02</v>
      </c>
      <c r="G22" s="32">
        <v>5.3</v>
      </c>
      <c r="H22" s="32"/>
      <c r="I22" s="33">
        <v>58587.72</v>
      </c>
      <c r="J22" s="33">
        <f t="shared" si="4"/>
        <v>678036.03</v>
      </c>
      <c r="K22" s="33">
        <f t="shared" si="5"/>
        <v>613243.75</v>
      </c>
      <c r="L22" s="33"/>
      <c r="M22" s="33"/>
      <c r="N22" s="33"/>
      <c r="O22" s="33">
        <f t="shared" si="2"/>
        <v>613243.75</v>
      </c>
      <c r="P22" s="44">
        <v>388089.32</v>
      </c>
      <c r="Q22" s="46">
        <f t="shared" si="3"/>
        <v>90.444124333628693</v>
      </c>
      <c r="R22" s="41">
        <v>38605.53</v>
      </c>
      <c r="U22" s="42">
        <v>554656.03</v>
      </c>
      <c r="V22" s="42">
        <v>639360.53</v>
      </c>
      <c r="W22" s="42">
        <f>38605.53+69.97</f>
        <v>38675.5</v>
      </c>
      <c r="X22" s="42">
        <v>554656.03</v>
      </c>
    </row>
    <row r="23" spans="1:24" s="41" customFormat="1" ht="45.75" thickBot="1">
      <c r="A23" s="32">
        <v>9</v>
      </c>
      <c r="B23" s="32" t="s">
        <v>37</v>
      </c>
      <c r="C23" s="32" t="s">
        <v>38</v>
      </c>
      <c r="D23" s="32"/>
      <c r="E23" s="32"/>
      <c r="F23" s="32" t="s">
        <v>39</v>
      </c>
      <c r="G23" s="32">
        <v>5.3</v>
      </c>
      <c r="H23" s="32"/>
      <c r="I23" s="33">
        <v>22156.16</v>
      </c>
      <c r="J23" s="33">
        <f t="shared" si="4"/>
        <v>102107.78</v>
      </c>
      <c r="K23" s="33">
        <f t="shared" si="5"/>
        <v>53009.26999999999</v>
      </c>
      <c r="L23" s="43"/>
      <c r="M23" s="33"/>
      <c r="N23" s="33"/>
      <c r="O23" s="33">
        <f t="shared" si="2"/>
        <v>53009.270000000004</v>
      </c>
      <c r="P23" s="44">
        <v>146097.04999999999</v>
      </c>
      <c r="Q23" s="46">
        <f t="shared" si="3"/>
        <v>51.91501568244847</v>
      </c>
      <c r="R23" s="41">
        <v>18046.5</v>
      </c>
      <c r="U23" s="42">
        <v>30853.11</v>
      </c>
      <c r="V23" s="42">
        <f>185536.31-101500</f>
        <v>84036.31</v>
      </c>
      <c r="W23" s="42">
        <f>18046.5+24.97</f>
        <v>18071.47</v>
      </c>
      <c r="X23" s="42">
        <f>132353.11-101500</f>
        <v>30853.109999999986</v>
      </c>
    </row>
    <row r="24" spans="1:24" s="41" customFormat="1" ht="45.75" thickBot="1">
      <c r="A24" s="32">
        <v>10</v>
      </c>
      <c r="B24" s="32" t="s">
        <v>37</v>
      </c>
      <c r="C24" s="32" t="s">
        <v>40</v>
      </c>
      <c r="D24" s="32"/>
      <c r="E24" s="32"/>
      <c r="F24" s="32" t="s">
        <v>41</v>
      </c>
      <c r="G24" s="32">
        <v>5.3</v>
      </c>
      <c r="H24" s="32"/>
      <c r="I24" s="33">
        <v>41622.58</v>
      </c>
      <c r="J24" s="33">
        <f>V24+W24</f>
        <v>366173.06</v>
      </c>
      <c r="K24" s="33">
        <f t="shared" si="5"/>
        <v>207252.61</v>
      </c>
      <c r="L24" s="43" t="s">
        <v>98</v>
      </c>
      <c r="M24" s="33" t="s">
        <v>97</v>
      </c>
      <c r="N24" s="33">
        <v>203000</v>
      </c>
      <c r="O24" s="33">
        <f t="shared" si="2"/>
        <v>4252.609999999986</v>
      </c>
      <c r="P24" s="44">
        <v>235115.53</v>
      </c>
      <c r="Q24" s="46">
        <f>K24/J24*100</f>
        <v>56.599633517550416</v>
      </c>
      <c r="R24" s="41">
        <v>33696.870000000003</v>
      </c>
      <c r="U24" s="42">
        <v>165630.03</v>
      </c>
      <c r="V24" s="42">
        <v>332388.58</v>
      </c>
      <c r="W24" s="42">
        <f>33696.87+87.61</f>
        <v>33784.480000000003</v>
      </c>
      <c r="X24" s="42">
        <v>165630.03</v>
      </c>
    </row>
    <row r="25" spans="1:24" s="41" customFormat="1" ht="45.75" thickBot="1">
      <c r="A25" s="32">
        <v>11</v>
      </c>
      <c r="B25" s="32" t="s">
        <v>28</v>
      </c>
      <c r="C25" s="32" t="s">
        <v>42</v>
      </c>
      <c r="D25" s="32"/>
      <c r="E25" s="32"/>
      <c r="F25" s="32" t="s">
        <v>43</v>
      </c>
      <c r="G25" s="32">
        <v>5.3</v>
      </c>
      <c r="H25" s="32"/>
      <c r="I25" s="33">
        <v>56405.59</v>
      </c>
      <c r="J25" s="33">
        <f t="shared" si="4"/>
        <v>362265.2</v>
      </c>
      <c r="K25" s="33">
        <f t="shared" si="5"/>
        <v>256321.63</v>
      </c>
      <c r="L25" s="43" t="s">
        <v>99</v>
      </c>
      <c r="M25" s="33" t="s">
        <v>97</v>
      </c>
      <c r="N25" s="33">
        <v>203000</v>
      </c>
      <c r="O25" s="33">
        <f>U25+I25-N25</f>
        <v>53321.630000000005</v>
      </c>
      <c r="P25" s="44">
        <v>287247.24</v>
      </c>
      <c r="Q25" s="46">
        <f t="shared" si="3"/>
        <v>70.755245052519527</v>
      </c>
      <c r="R25" s="41">
        <v>33300.959999999999</v>
      </c>
      <c r="U25" s="42">
        <v>199916.04</v>
      </c>
      <c r="V25" s="42">
        <v>328906.34000000003</v>
      </c>
      <c r="W25" s="42">
        <f>33300.96+57.9</f>
        <v>33358.86</v>
      </c>
      <c r="X25" s="42">
        <v>199916.04</v>
      </c>
    </row>
    <row r="26" spans="1:24" s="41" customFormat="1" ht="45.75" thickBot="1">
      <c r="A26" s="32">
        <v>12</v>
      </c>
      <c r="B26" s="32" t="s">
        <v>28</v>
      </c>
      <c r="C26" s="32" t="s">
        <v>72</v>
      </c>
      <c r="D26" s="32"/>
      <c r="E26" s="32"/>
      <c r="F26" s="32" t="s">
        <v>44</v>
      </c>
      <c r="G26" s="32">
        <v>5.3</v>
      </c>
      <c r="H26" s="32"/>
      <c r="I26" s="33">
        <v>16458.96</v>
      </c>
      <c r="J26" s="33">
        <f t="shared" si="4"/>
        <v>319116.27999999997</v>
      </c>
      <c r="K26" s="33">
        <f t="shared" si="5"/>
        <v>163042.51999999999</v>
      </c>
      <c r="L26" s="43"/>
      <c r="M26" s="33"/>
      <c r="N26" s="33"/>
      <c r="O26" s="33">
        <f t="shared" si="2"/>
        <v>163042.51999999999</v>
      </c>
      <c r="P26" s="44">
        <v>253163.82</v>
      </c>
      <c r="Q26" s="46">
        <f t="shared" si="3"/>
        <v>51.091884124495316</v>
      </c>
      <c r="R26" s="41">
        <v>30962.07</v>
      </c>
      <c r="U26" s="42">
        <v>146583.56</v>
      </c>
      <c r="V26" s="42">
        <v>288055.21999999997</v>
      </c>
      <c r="W26" s="42">
        <f>30962.07+98.99</f>
        <v>31061.06</v>
      </c>
      <c r="X26" s="42">
        <v>146583.56</v>
      </c>
    </row>
    <row r="27" spans="1:24" s="41" customFormat="1" ht="45.75" thickBot="1">
      <c r="A27" s="32">
        <v>13</v>
      </c>
      <c r="B27" s="32" t="s">
        <v>28</v>
      </c>
      <c r="C27" s="32" t="s">
        <v>73</v>
      </c>
      <c r="D27" s="32"/>
      <c r="E27" s="32"/>
      <c r="F27" s="32" t="s">
        <v>45</v>
      </c>
      <c r="G27" s="32">
        <v>5.3</v>
      </c>
      <c r="H27" s="32"/>
      <c r="I27" s="33">
        <v>27705.11</v>
      </c>
      <c r="J27" s="33">
        <f t="shared" si="4"/>
        <v>285901.51</v>
      </c>
      <c r="K27" s="33">
        <f t="shared" si="5"/>
        <v>178761.34000000003</v>
      </c>
      <c r="L27" s="43"/>
      <c r="M27" s="33"/>
      <c r="N27" s="33"/>
      <c r="O27" s="33">
        <f t="shared" si="2"/>
        <v>178761.34000000003</v>
      </c>
      <c r="P27" s="44">
        <v>252978.03</v>
      </c>
      <c r="Q27" s="46">
        <f t="shared" si="3"/>
        <v>62.525496979711662</v>
      </c>
      <c r="R27" s="41">
        <v>27028.41</v>
      </c>
      <c r="U27" s="42">
        <v>151056.23000000001</v>
      </c>
      <c r="V27" s="42">
        <f>360309.23-101500</f>
        <v>258809.22999999998</v>
      </c>
      <c r="W27" s="42">
        <f>27028.41+63.87</f>
        <v>27092.28</v>
      </c>
      <c r="X27" s="42">
        <f>252556.23-101500</f>
        <v>151056.23000000001</v>
      </c>
    </row>
    <row r="28" spans="1:24" s="41" customFormat="1" ht="45.75" thickBot="1">
      <c r="A28" s="32">
        <v>14</v>
      </c>
      <c r="B28" s="32" t="s">
        <v>28</v>
      </c>
      <c r="C28" s="32" t="s">
        <v>74</v>
      </c>
      <c r="D28" s="32"/>
      <c r="E28" s="32"/>
      <c r="F28" s="33">
        <v>2087.9</v>
      </c>
      <c r="G28" s="32">
        <v>5.3</v>
      </c>
      <c r="H28" s="32"/>
      <c r="I28" s="33">
        <v>40929.21</v>
      </c>
      <c r="J28" s="33">
        <f t="shared" si="4"/>
        <v>610099.89</v>
      </c>
      <c r="K28" s="33">
        <f t="shared" si="5"/>
        <v>512119.27</v>
      </c>
      <c r="L28" s="33"/>
      <c r="M28" s="33"/>
      <c r="N28" s="33"/>
      <c r="O28" s="33">
        <f t="shared" si="2"/>
        <v>512119.27</v>
      </c>
      <c r="P28" s="44">
        <v>243907.98</v>
      </c>
      <c r="Q28" s="46">
        <f t="shared" si="3"/>
        <v>83.940233131331993</v>
      </c>
      <c r="R28" s="41">
        <v>33197.61</v>
      </c>
      <c r="U28" s="42">
        <v>471190.06</v>
      </c>
      <c r="V28" s="42">
        <v>576840.89</v>
      </c>
      <c r="W28" s="42">
        <f>33197.61+61.39</f>
        <v>33259</v>
      </c>
      <c r="X28" s="42">
        <v>471190.06</v>
      </c>
    </row>
    <row r="29" spans="1:24" s="41" customFormat="1" ht="45.75" thickBot="1">
      <c r="A29" s="32">
        <v>15</v>
      </c>
      <c r="B29" s="32" t="s">
        <v>28</v>
      </c>
      <c r="C29" s="32" t="s">
        <v>75</v>
      </c>
      <c r="D29" s="32"/>
      <c r="E29" s="32"/>
      <c r="F29" s="32" t="s">
        <v>46</v>
      </c>
      <c r="G29" s="32">
        <v>5.3</v>
      </c>
      <c r="H29" s="32"/>
      <c r="I29" s="33">
        <v>36936.58</v>
      </c>
      <c r="J29" s="33">
        <f t="shared" si="4"/>
        <v>606325.57999999996</v>
      </c>
      <c r="K29" s="33">
        <f t="shared" si="5"/>
        <v>522337.16000000003</v>
      </c>
      <c r="L29" s="33"/>
      <c r="M29" s="33"/>
      <c r="N29" s="33"/>
      <c r="O29" s="33">
        <f t="shared" si="2"/>
        <v>522337.16000000003</v>
      </c>
      <c r="P29" s="44">
        <v>223464.31</v>
      </c>
      <c r="Q29" s="46">
        <f t="shared" si="3"/>
        <v>86.147966905833016</v>
      </c>
      <c r="R29" s="41">
        <v>33165.81</v>
      </c>
      <c r="U29" s="42">
        <v>485400.58</v>
      </c>
      <c r="V29" s="42">
        <v>573085.81999999995</v>
      </c>
      <c r="W29" s="42">
        <f>33165.81+73.95</f>
        <v>33239.759999999995</v>
      </c>
      <c r="X29" s="42">
        <v>485400.58</v>
      </c>
    </row>
    <row r="30" spans="1:24">
      <c r="A30" s="2"/>
      <c r="R30">
        <f>SUM(R15:R29)</f>
        <v>550366.11</v>
      </c>
      <c r="T30" s="3">
        <f>SUM(I15:I29)</f>
        <v>707184.62999999977</v>
      </c>
      <c r="W30" s="3">
        <f>SUM(W15:W29)</f>
        <v>551578.67999999993</v>
      </c>
    </row>
    <row r="31" spans="1:24" ht="15.75">
      <c r="A31" s="4" t="s">
        <v>76</v>
      </c>
      <c r="C31" s="17" t="s">
        <v>100</v>
      </c>
      <c r="D31" s="17"/>
      <c r="E31" s="17"/>
      <c r="F31" s="17"/>
      <c r="G31" s="17"/>
      <c r="H31" s="17"/>
      <c r="I31" s="26"/>
      <c r="W31" s="3">
        <f>550366.11</f>
        <v>550366.11</v>
      </c>
    </row>
    <row r="32" spans="1:24" ht="15.75">
      <c r="A32" s="2"/>
      <c r="C32" s="203" t="s">
        <v>101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W32" s="3">
        <f>W30-W31</f>
        <v>1212.5699999999488</v>
      </c>
    </row>
    <row r="33" spans="1:24" ht="15.75">
      <c r="A33" s="2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24">
      <c r="A34" s="2"/>
    </row>
    <row r="35" spans="1:24" s="27" customFormat="1" ht="15.75">
      <c r="A35" s="4" t="str">
        <f>'УК 1кв. 2019г'!A27</f>
        <v xml:space="preserve"> « 04 » апреля  2019г.</v>
      </c>
      <c r="I35" s="28"/>
      <c r="U35" s="28"/>
      <c r="V35" s="28"/>
      <c r="W35" s="28"/>
      <c r="X35" s="28"/>
    </row>
    <row r="36" spans="1:24" s="27" customFormat="1" ht="15.75">
      <c r="A36" s="4"/>
      <c r="I36" s="28"/>
      <c r="U36" s="28"/>
      <c r="V36" s="28"/>
      <c r="W36" s="28"/>
      <c r="X36" s="28"/>
    </row>
    <row r="37" spans="1:24" s="27" customFormat="1" ht="15.75">
      <c r="A37" s="4"/>
      <c r="I37" s="28"/>
      <c r="U37" s="28"/>
      <c r="V37" s="28"/>
      <c r="W37" s="28"/>
      <c r="X37" s="28"/>
    </row>
    <row r="38" spans="1:24" s="27" customFormat="1" ht="15.75">
      <c r="A38" s="4" t="s">
        <v>47</v>
      </c>
      <c r="I38" s="28"/>
      <c r="U38" s="28"/>
      <c r="V38" s="28"/>
      <c r="W38" s="28"/>
      <c r="X38" s="28"/>
    </row>
    <row r="39" spans="1:24" s="27" customFormat="1" ht="15.75">
      <c r="A39" s="30" t="s">
        <v>48</v>
      </c>
      <c r="I39" s="28"/>
      <c r="U39" s="28"/>
      <c r="V39" s="28"/>
      <c r="W39" s="28"/>
      <c r="X39" s="28"/>
    </row>
    <row r="40" spans="1:24">
      <c r="A40" s="1"/>
    </row>
    <row r="41" spans="1:24">
      <c r="A41" s="1"/>
    </row>
    <row r="42" spans="1:24">
      <c r="A42" s="1"/>
    </row>
    <row r="43" spans="1:24">
      <c r="A43" s="1"/>
    </row>
    <row r="44" spans="1:24">
      <c r="A44" s="1"/>
    </row>
    <row r="45" spans="1:24">
      <c r="A45" s="1"/>
    </row>
    <row r="46" spans="1:24">
      <c r="A46" s="1"/>
    </row>
    <row r="47" spans="1:24">
      <c r="A47" s="1"/>
    </row>
    <row r="48" spans="1:24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</sheetData>
  <mergeCells count="26">
    <mergeCell ref="A11:A13"/>
    <mergeCell ref="B11:B13"/>
    <mergeCell ref="C11:C13"/>
    <mergeCell ref="D11:D13"/>
    <mergeCell ref="E11:E13"/>
    <mergeCell ref="A1:O1"/>
    <mergeCell ref="A2:O2"/>
    <mergeCell ref="A3:O3"/>
    <mergeCell ref="D5:M5"/>
    <mergeCell ref="D8:L8"/>
    <mergeCell ref="C32:O32"/>
    <mergeCell ref="C33:O33"/>
    <mergeCell ref="Q11:Q13"/>
    <mergeCell ref="F11:F13"/>
    <mergeCell ref="G11:G13"/>
    <mergeCell ref="H11:I11"/>
    <mergeCell ref="J11:K11"/>
    <mergeCell ref="L11:N11"/>
    <mergeCell ref="O11:O13"/>
    <mergeCell ref="H12:H13"/>
    <mergeCell ref="I12:I13"/>
    <mergeCell ref="J12:J13"/>
    <mergeCell ref="K12:K13"/>
    <mergeCell ref="L12:L13"/>
    <mergeCell ref="M12:M13"/>
    <mergeCell ref="N12:N13"/>
  </mergeCells>
  <pageMargins left="0.31496062992125984" right="0.31496062992125984" top="0.74803149606299213" bottom="0.35433070866141736" header="0.31496062992125984" footer="0.31496062992125984"/>
  <pageSetup paperSize="9" scale="37" fitToHeight="2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topLeftCell="A10" workbookViewId="0">
      <selection activeCell="W28" sqref="W28"/>
    </sheetView>
  </sheetViews>
  <sheetFormatPr defaultColWidth="9.140625" defaultRowHeight="15"/>
  <cols>
    <col min="1" max="2" width="9.140625" style="13"/>
    <col min="3" max="3" width="15.42578125" style="13" customWidth="1"/>
    <col min="4" max="6" width="9.140625" style="13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9.140625" style="13"/>
    <col min="13" max="13" width="17" style="13" customWidth="1"/>
    <col min="14" max="14" width="10.42578125" style="13" customWidth="1"/>
    <col min="15" max="15" width="13.42578125" style="13" customWidth="1"/>
    <col min="16" max="16" width="9.140625" style="13"/>
    <col min="17" max="17" width="14" style="13" customWidth="1"/>
    <col min="18" max="18" width="11.5703125" style="13" bestFit="1" customWidth="1"/>
    <col min="19" max="19" width="9.140625" style="13"/>
    <col min="20" max="20" width="11.5703125" style="13" bestFit="1" customWidth="1"/>
    <col min="21" max="16384" width="9.140625" style="13"/>
  </cols>
  <sheetData>
    <row r="1" spans="1:15" ht="11.2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11.2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 ht="11.2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s="17" customFormat="1" ht="15.7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s="17" customFormat="1" ht="31.5" customHeight="1">
      <c r="A5" s="159" t="s">
        <v>66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ht="15.75">
      <c r="A6" s="158" t="s">
        <v>93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1:15" ht="15.75">
      <c r="A7" s="1" t="s">
        <v>4</v>
      </c>
      <c r="D7" s="18" t="s">
        <v>50</v>
      </c>
      <c r="E7" s="17"/>
      <c r="F7" s="17"/>
      <c r="G7" s="17"/>
      <c r="H7" s="17"/>
      <c r="I7" s="17"/>
      <c r="J7" s="17"/>
      <c r="K7" s="17"/>
    </row>
    <row r="8" spans="1:15" ht="14.25" customHeight="1">
      <c r="D8" s="200" t="s">
        <v>6</v>
      </c>
      <c r="E8" s="200"/>
      <c r="F8" s="200"/>
      <c r="G8" s="200"/>
      <c r="H8" s="200"/>
      <c r="I8" s="200"/>
      <c r="J8" s="200"/>
      <c r="K8" s="200"/>
      <c r="L8" s="200"/>
      <c r="M8" s="200"/>
    </row>
    <row r="9" spans="1:15" ht="15.75">
      <c r="A9" s="1" t="s">
        <v>7</v>
      </c>
      <c r="D9" s="18" t="s">
        <v>51</v>
      </c>
      <c r="E9" s="17"/>
      <c r="F9" s="17"/>
      <c r="G9" s="17"/>
      <c r="H9" s="17"/>
    </row>
    <row r="10" spans="1:15">
      <c r="A10" s="1" t="s">
        <v>8</v>
      </c>
    </row>
    <row r="11" spans="1:15" ht="9.75" customHeight="1">
      <c r="A11" s="5"/>
      <c r="B11" s="14"/>
      <c r="C11" s="14"/>
      <c r="D11" s="201" t="s">
        <v>9</v>
      </c>
      <c r="E11" s="201"/>
      <c r="F11" s="201"/>
      <c r="G11" s="201"/>
      <c r="H11" s="201"/>
      <c r="I11" s="201"/>
      <c r="J11" s="201"/>
      <c r="K11" s="201"/>
      <c r="L11" s="201"/>
    </row>
    <row r="12" spans="1:15" ht="15.75">
      <c r="A12" s="18" t="s">
        <v>61</v>
      </c>
    </row>
    <row r="13" spans="1:15" ht="15.75">
      <c r="A13" s="18" t="s">
        <v>62</v>
      </c>
    </row>
    <row r="14" spans="1:15" ht="42" customHeight="1">
      <c r="A14" s="192" t="s">
        <v>10</v>
      </c>
      <c r="B14" s="196" t="s">
        <v>11</v>
      </c>
      <c r="C14" s="192" t="s">
        <v>12</v>
      </c>
      <c r="D14" s="192" t="s">
        <v>13</v>
      </c>
      <c r="E14" s="192" t="s">
        <v>14</v>
      </c>
      <c r="F14" s="192" t="s">
        <v>15</v>
      </c>
      <c r="G14" s="192" t="s">
        <v>16</v>
      </c>
      <c r="H14" s="190" t="s">
        <v>17</v>
      </c>
      <c r="I14" s="190"/>
      <c r="J14" s="190" t="s">
        <v>18</v>
      </c>
      <c r="K14" s="190"/>
      <c r="L14" s="190" t="s">
        <v>19</v>
      </c>
      <c r="M14" s="190"/>
      <c r="N14" s="190"/>
      <c r="O14" s="190" t="s">
        <v>20</v>
      </c>
    </row>
    <row r="15" spans="1:15">
      <c r="A15" s="193"/>
      <c r="B15" s="197"/>
      <c r="C15" s="193"/>
      <c r="D15" s="193"/>
      <c r="E15" s="193"/>
      <c r="F15" s="193"/>
      <c r="G15" s="193"/>
      <c r="H15" s="190" t="s">
        <v>21</v>
      </c>
      <c r="I15" s="190" t="s">
        <v>22</v>
      </c>
      <c r="J15" s="190" t="s">
        <v>23</v>
      </c>
      <c r="K15" s="190" t="s">
        <v>24</v>
      </c>
      <c r="L15" s="190" t="s">
        <v>25</v>
      </c>
      <c r="M15" s="190" t="s">
        <v>26</v>
      </c>
      <c r="N15" s="190" t="s">
        <v>27</v>
      </c>
      <c r="O15" s="190"/>
    </row>
    <row r="16" spans="1:15" ht="99" customHeight="1">
      <c r="A16" s="194"/>
      <c r="B16" s="198"/>
      <c r="C16" s="194"/>
      <c r="D16" s="194"/>
      <c r="E16" s="194"/>
      <c r="F16" s="194"/>
      <c r="G16" s="194"/>
      <c r="H16" s="190"/>
      <c r="I16" s="190"/>
      <c r="J16" s="190"/>
      <c r="K16" s="190"/>
      <c r="L16" s="190"/>
      <c r="M16" s="190"/>
      <c r="N16" s="190"/>
      <c r="O16" s="190"/>
    </row>
    <row r="17" spans="1:20">
      <c r="A17" s="7">
        <v>1</v>
      </c>
      <c r="B17" s="6">
        <v>1</v>
      </c>
      <c r="C17" s="7">
        <v>2</v>
      </c>
      <c r="D17" s="7">
        <v>3</v>
      </c>
      <c r="E17" s="7">
        <v>4</v>
      </c>
      <c r="F17" s="7">
        <v>5</v>
      </c>
      <c r="G17" s="7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8">
        <v>14</v>
      </c>
    </row>
    <row r="18" spans="1:20" s="15" customFormat="1" ht="51.75" customHeight="1">
      <c r="A18" s="32">
        <v>1</v>
      </c>
      <c r="B18" s="32" t="s">
        <v>28</v>
      </c>
      <c r="C18" s="32" t="s">
        <v>52</v>
      </c>
      <c r="D18" s="32">
        <v>2001</v>
      </c>
      <c r="E18" s="32"/>
      <c r="F18" s="32" t="s">
        <v>53</v>
      </c>
      <c r="G18" s="32">
        <v>5.3</v>
      </c>
      <c r="H18" s="32"/>
      <c r="I18" s="33">
        <f>149975.85+775.39</f>
        <v>150751.24000000002</v>
      </c>
      <c r="J18" s="33">
        <f>1993630.96+149877.45</f>
        <v>2143508.41</v>
      </c>
      <c r="K18" s="33">
        <f>T18+I18</f>
        <v>2013851.96</v>
      </c>
      <c r="L18" s="34"/>
      <c r="M18" s="35"/>
      <c r="N18" s="36"/>
      <c r="O18" s="33">
        <f>K18-N18</f>
        <v>2013851.96</v>
      </c>
      <c r="P18">
        <f>K18/J18*100</f>
        <v>93.951204044961017</v>
      </c>
      <c r="Q18" s="15">
        <f>148344.05+1940.94</f>
        <v>150284.99</v>
      </c>
      <c r="R18" s="19">
        <f>J18-K18</f>
        <v>129656.45000000019</v>
      </c>
      <c r="T18" s="19">
        <v>1863100.72</v>
      </c>
    </row>
    <row r="19" spans="1:20" s="15" customFormat="1" ht="48.75" customHeight="1">
      <c r="A19" s="32">
        <v>2</v>
      </c>
      <c r="B19" s="32" t="s">
        <v>28</v>
      </c>
      <c r="C19" s="32" t="s">
        <v>57</v>
      </c>
      <c r="D19" s="32">
        <v>2011</v>
      </c>
      <c r="E19" s="32"/>
      <c r="F19" s="32" t="s">
        <v>58</v>
      </c>
      <c r="G19" s="32">
        <v>7.32</v>
      </c>
      <c r="H19" s="32"/>
      <c r="I19" s="33">
        <v>63251.35</v>
      </c>
      <c r="J19" s="33">
        <f>406976.81+66855.09+1525.74+207.24</f>
        <v>475564.88</v>
      </c>
      <c r="K19" s="33">
        <f t="shared" ref="K19:K21" si="0">T19+I19</f>
        <v>376420.00999999995</v>
      </c>
      <c r="L19" s="32"/>
      <c r="M19" s="32"/>
      <c r="N19" s="32"/>
      <c r="O19" s="33">
        <f t="shared" ref="O19:O21" si="1">K19-N19</f>
        <v>376420.00999999995</v>
      </c>
      <c r="P19">
        <f>K19/J19*100</f>
        <v>79.15218844587514</v>
      </c>
      <c r="Q19" s="15">
        <f>66104.07+998.81</f>
        <v>67102.880000000005</v>
      </c>
      <c r="R19" s="19">
        <f>J19-K19</f>
        <v>99144.870000000054</v>
      </c>
      <c r="T19" s="15">
        <v>313168.65999999997</v>
      </c>
    </row>
    <row r="20" spans="1:20" s="15" customFormat="1" ht="51.75" customHeight="1">
      <c r="A20" s="32">
        <v>3</v>
      </c>
      <c r="B20" s="32" t="s">
        <v>28</v>
      </c>
      <c r="C20" s="32" t="s">
        <v>91</v>
      </c>
      <c r="D20" s="32">
        <v>2012</v>
      </c>
      <c r="E20" s="32"/>
      <c r="F20" s="33">
        <v>2517.1</v>
      </c>
      <c r="G20" s="32">
        <v>7.32</v>
      </c>
      <c r="H20" s="32"/>
      <c r="I20" s="33">
        <v>45529.71</v>
      </c>
      <c r="J20" s="33">
        <f>844842.08+55275.54+8171.96</f>
        <v>908289.58</v>
      </c>
      <c r="K20" s="33">
        <f t="shared" si="0"/>
        <v>532597.43999999994</v>
      </c>
      <c r="L20" s="34"/>
      <c r="M20" s="35"/>
      <c r="N20" s="36"/>
      <c r="O20" s="33">
        <f t="shared" si="1"/>
        <v>532597.43999999994</v>
      </c>
      <c r="P20">
        <f>K20/J20*100</f>
        <v>58.637405044325178</v>
      </c>
      <c r="Q20" s="15">
        <f>147994.05+1873.41</f>
        <v>149867.46</v>
      </c>
      <c r="R20" s="19">
        <f>J20-K20</f>
        <v>375692.14</v>
      </c>
      <c r="T20" s="19">
        <v>487067.73</v>
      </c>
    </row>
    <row r="21" spans="1:20" s="15" customFormat="1" ht="48.75" customHeight="1">
      <c r="A21" s="32">
        <v>4</v>
      </c>
      <c r="B21" s="32" t="s">
        <v>28</v>
      </c>
      <c r="C21" s="32" t="s">
        <v>92</v>
      </c>
      <c r="D21" s="32">
        <v>2012</v>
      </c>
      <c r="E21" s="32"/>
      <c r="F21" s="33">
        <v>2504.1999999999998</v>
      </c>
      <c r="G21" s="32">
        <v>7.32</v>
      </c>
      <c r="H21" s="32"/>
      <c r="I21" s="33">
        <v>83993.55</v>
      </c>
      <c r="J21" s="33">
        <f>1057934.75+59779.53+6881.91</f>
        <v>1124596.19</v>
      </c>
      <c r="K21" s="33">
        <f t="shared" si="0"/>
        <v>816883.67</v>
      </c>
      <c r="L21" s="32"/>
      <c r="M21" s="32"/>
      <c r="N21" s="32"/>
      <c r="O21" s="33">
        <f t="shared" si="1"/>
        <v>816883.67</v>
      </c>
      <c r="P21">
        <f>K21/J21*100</f>
        <v>72.637954606621975</v>
      </c>
      <c r="Q21" s="15">
        <f>66104.07+998.81</f>
        <v>67102.880000000005</v>
      </c>
      <c r="R21" s="19">
        <f>J21-K21</f>
        <v>307712.5199999999</v>
      </c>
      <c r="T21" s="15">
        <v>732890.12</v>
      </c>
    </row>
    <row r="22" spans="1:20">
      <c r="A22" s="2"/>
    </row>
    <row r="23" spans="1:20" s="17" customFormat="1" ht="15.75">
      <c r="A23" s="4" t="s">
        <v>64</v>
      </c>
      <c r="C23" s="17" t="s">
        <v>94</v>
      </c>
    </row>
    <row r="24" spans="1:20" s="17" customFormat="1" ht="15.75">
      <c r="A24" s="4"/>
      <c r="C24" s="17" t="s">
        <v>96</v>
      </c>
    </row>
    <row r="25" spans="1:20" s="17" customFormat="1" ht="15.75">
      <c r="A25" s="4"/>
    </row>
    <row r="26" spans="1:20" s="17" customFormat="1" ht="15.75">
      <c r="A26" s="4"/>
    </row>
    <row r="27" spans="1:20" s="17" customFormat="1" ht="15.75">
      <c r="A27" s="4" t="s">
        <v>95</v>
      </c>
    </row>
    <row r="28" spans="1:20" s="17" customFormat="1" ht="15.75">
      <c r="A28" s="4" t="s">
        <v>59</v>
      </c>
    </row>
    <row r="29" spans="1:20">
      <c r="A29" s="2" t="s">
        <v>48</v>
      </c>
    </row>
  </sheetData>
  <mergeCells count="26">
    <mergeCell ref="O14:O16"/>
    <mergeCell ref="H15:H16"/>
    <mergeCell ref="I15:I16"/>
    <mergeCell ref="J15:J16"/>
    <mergeCell ref="K15:K16"/>
    <mergeCell ref="L15:L16"/>
    <mergeCell ref="M15:M16"/>
    <mergeCell ref="N15:N16"/>
    <mergeCell ref="D8:M8"/>
    <mergeCell ref="D11:L11"/>
    <mergeCell ref="A14:A16"/>
    <mergeCell ref="B14:B16"/>
    <mergeCell ref="C14:C16"/>
    <mergeCell ref="D14:D16"/>
    <mergeCell ref="E14:E16"/>
    <mergeCell ref="F14:F16"/>
    <mergeCell ref="G14:G16"/>
    <mergeCell ref="H14:I14"/>
    <mergeCell ref="J14:K14"/>
    <mergeCell ref="L14:N14"/>
    <mergeCell ref="A6:O6"/>
    <mergeCell ref="A1:O1"/>
    <mergeCell ref="A2:O2"/>
    <mergeCell ref="A3:O3"/>
    <mergeCell ref="A4:O4"/>
    <mergeCell ref="A5:O5"/>
  </mergeCells>
  <pageMargins left="0.39370078740157483" right="0.39370078740157483" top="0.74803149606299213" bottom="0.74803149606299213" header="0.31496062992125984" footer="0.31496062992125984"/>
  <pageSetup paperSize="9" scale="5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4"/>
  <sheetViews>
    <sheetView topLeftCell="A26" workbookViewId="0">
      <selection activeCell="W28" sqref="W28"/>
    </sheetView>
  </sheetViews>
  <sheetFormatPr defaultRowHeight="15"/>
  <cols>
    <col min="3" max="3" width="15.42578125" customWidth="1"/>
    <col min="9" max="9" width="13.5703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4.42578125" customWidth="1"/>
    <col min="15" max="15" width="11.140625" customWidth="1"/>
    <col min="16" max="16" width="11.28515625" customWidth="1"/>
    <col min="17" max="17" width="9.140625" customWidth="1"/>
    <col min="18" max="18" width="11.7109375" customWidth="1"/>
    <col min="20" max="20" width="10" bestFit="1" customWidth="1"/>
  </cols>
  <sheetData>
    <row r="1" spans="1:18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8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8" s="13" customFormat="1" ht="15.75">
      <c r="A3" s="158" t="s">
        <v>86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8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</row>
    <row r="5" spans="1:18" s="13" customFormat="1" ht="14.2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</row>
    <row r="6" spans="1:18" s="13" customFormat="1" ht="15.75">
      <c r="A6" s="1" t="s">
        <v>7</v>
      </c>
      <c r="D6" s="18" t="s">
        <v>68</v>
      </c>
      <c r="E6" s="17"/>
      <c r="F6" s="17"/>
      <c r="G6" s="17"/>
      <c r="H6" s="17"/>
    </row>
    <row r="7" spans="1:18" s="13" customFormat="1">
      <c r="A7" s="1" t="s">
        <v>8</v>
      </c>
    </row>
    <row r="8" spans="1:18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</row>
    <row r="9" spans="1:18" s="13" customFormat="1" ht="15.75">
      <c r="A9" s="18" t="s">
        <v>69</v>
      </c>
    </row>
    <row r="10" spans="1:18" s="13" customFormat="1" ht="15.75">
      <c r="A10" s="18" t="s">
        <v>70</v>
      </c>
    </row>
    <row r="11" spans="1:18" s="13" customFormat="1" ht="42" customHeight="1">
      <c r="A11" s="220" t="s">
        <v>10</v>
      </c>
      <c r="B11" s="224" t="s">
        <v>11</v>
      </c>
      <c r="C11" s="220" t="s">
        <v>12</v>
      </c>
      <c r="D11" s="220" t="s">
        <v>13</v>
      </c>
      <c r="E11" s="220" t="s">
        <v>14</v>
      </c>
      <c r="F11" s="220" t="s">
        <v>15</v>
      </c>
      <c r="G11" s="220" t="s">
        <v>16</v>
      </c>
      <c r="H11" s="223" t="s">
        <v>17</v>
      </c>
      <c r="I11" s="223"/>
      <c r="J11" s="223" t="s">
        <v>18</v>
      </c>
      <c r="K11" s="223"/>
      <c r="L11" s="223" t="s">
        <v>19</v>
      </c>
      <c r="M11" s="223"/>
      <c r="N11" s="223"/>
      <c r="O11" s="223" t="s">
        <v>20</v>
      </c>
    </row>
    <row r="12" spans="1:18" s="13" customFormat="1">
      <c r="A12" s="221"/>
      <c r="B12" s="225"/>
      <c r="C12" s="221"/>
      <c r="D12" s="221"/>
      <c r="E12" s="221"/>
      <c r="F12" s="221"/>
      <c r="G12" s="221"/>
      <c r="H12" s="223" t="s">
        <v>21</v>
      </c>
      <c r="I12" s="223" t="s">
        <v>22</v>
      </c>
      <c r="J12" s="223" t="s">
        <v>23</v>
      </c>
      <c r="K12" s="223" t="s">
        <v>24</v>
      </c>
      <c r="L12" s="223" t="s">
        <v>25</v>
      </c>
      <c r="M12" s="223" t="s">
        <v>26</v>
      </c>
      <c r="N12" s="223" t="s">
        <v>27</v>
      </c>
      <c r="O12" s="223"/>
    </row>
    <row r="13" spans="1:18" s="13" customFormat="1" ht="99" customHeight="1">
      <c r="A13" s="222"/>
      <c r="B13" s="226"/>
      <c r="C13" s="222"/>
      <c r="D13" s="222"/>
      <c r="E13" s="222"/>
      <c r="F13" s="222"/>
      <c r="G13" s="222"/>
      <c r="H13" s="223"/>
      <c r="I13" s="223"/>
      <c r="J13" s="223"/>
      <c r="K13" s="223"/>
      <c r="L13" s="223"/>
      <c r="M13" s="223"/>
      <c r="N13" s="223"/>
      <c r="O13" s="223"/>
    </row>
    <row r="14" spans="1:18" s="13" customFormat="1">
      <c r="A14" s="7">
        <v>1</v>
      </c>
      <c r="B14" s="6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  <c r="O14" s="8">
        <v>14</v>
      </c>
    </row>
    <row r="15" spans="1:18" ht="48" thickBot="1">
      <c r="A15" s="22">
        <v>1</v>
      </c>
      <c r="B15" s="23" t="s">
        <v>28</v>
      </c>
      <c r="C15" s="23" t="s">
        <v>29</v>
      </c>
      <c r="D15" s="23"/>
      <c r="E15" s="23"/>
      <c r="F15" s="25">
        <v>4750.3</v>
      </c>
      <c r="G15" s="23">
        <v>5.3</v>
      </c>
      <c r="H15" s="23"/>
      <c r="I15" s="24">
        <v>70889.100000000006</v>
      </c>
      <c r="J15" s="24">
        <f>'ТСЖ 1 КВ. 2018'!J15+'ТСЖ 2 КВ. 2018 '!R15-'ТСЖ 1 КВ. 2018'!N15</f>
        <v>1159883.3899999999</v>
      </c>
      <c r="K15" s="24">
        <f>'ТСЖ 1 КВ. 2018'!K15+'ТСЖ 2 КВ. 2018 '!I15</f>
        <v>706148.67</v>
      </c>
      <c r="L15" s="24"/>
      <c r="M15" s="24"/>
      <c r="N15" s="24"/>
      <c r="O15" s="24">
        <f>K15-N15</f>
        <v>706148.67</v>
      </c>
      <c r="P15" s="21">
        <v>520817.08</v>
      </c>
      <c r="Q15">
        <f>K15/J15*100</f>
        <v>60.881005460385126</v>
      </c>
      <c r="R15">
        <v>75529.77</v>
      </c>
    </row>
    <row r="16" spans="1:18" ht="48" thickBot="1">
      <c r="A16" s="22">
        <v>2</v>
      </c>
      <c r="B16" s="23" t="s">
        <v>28</v>
      </c>
      <c r="C16" s="23" t="s">
        <v>30</v>
      </c>
      <c r="D16" s="23"/>
      <c r="E16" s="23"/>
      <c r="F16" s="25">
        <v>1908.8</v>
      </c>
      <c r="G16" s="23">
        <v>5.3</v>
      </c>
      <c r="H16" s="23"/>
      <c r="I16" s="24">
        <v>21913.97</v>
      </c>
      <c r="J16" s="24">
        <f>'ТСЖ 1 КВ. 2018'!J16+'ТСЖ 2 КВ. 2018 '!R16-'ТСЖ 1 КВ. 2018'!N16</f>
        <v>465582.19999999995</v>
      </c>
      <c r="K16" s="24">
        <f>'ТСЖ 1 КВ. 2018'!K16+'ТСЖ 2 КВ. 2018 '!I16</f>
        <v>377694.87</v>
      </c>
      <c r="L16" s="24"/>
      <c r="M16" s="24"/>
      <c r="N16" s="24"/>
      <c r="O16" s="24">
        <f t="shared" ref="O16:O29" si="0">K16-N16</f>
        <v>377694.87</v>
      </c>
      <c r="P16" s="21">
        <v>264064.82</v>
      </c>
      <c r="Q16">
        <f t="shared" ref="Q16:Q29" si="1">K16/J16*100</f>
        <v>81.123133573405511</v>
      </c>
      <c r="R16">
        <v>30349.919999999998</v>
      </c>
    </row>
    <row r="17" spans="1:20" ht="95.25" thickBot="1">
      <c r="A17" s="22">
        <v>3</v>
      </c>
      <c r="B17" s="23" t="s">
        <v>28</v>
      </c>
      <c r="C17" s="23" t="s">
        <v>71</v>
      </c>
      <c r="D17" s="23"/>
      <c r="E17" s="23"/>
      <c r="F17" s="25">
        <v>1908.8</v>
      </c>
      <c r="G17" s="23">
        <v>5.3</v>
      </c>
      <c r="H17" s="23"/>
      <c r="I17" s="24">
        <v>52628.86</v>
      </c>
      <c r="J17" s="24">
        <f>'ТСЖ 1 КВ. 2018'!J17+'ТСЖ 2 КВ. 2018 '!R17-'ТСЖ 1 КВ. 2018'!N17</f>
        <v>727947.05</v>
      </c>
      <c r="K17" s="24">
        <f>'ТСЖ 1 КВ. 2018'!K17+'ТСЖ 2 КВ. 2018 '!I17</f>
        <v>482519.3</v>
      </c>
      <c r="L17" s="31" t="s">
        <v>89</v>
      </c>
      <c r="M17" s="24" t="s">
        <v>90</v>
      </c>
      <c r="N17" s="24">
        <v>48549</v>
      </c>
      <c r="O17" s="24">
        <f t="shared" si="0"/>
        <v>433970.3</v>
      </c>
      <c r="P17" s="21">
        <v>378042.71</v>
      </c>
      <c r="Q17">
        <f t="shared" si="1"/>
        <v>66.284944763496185</v>
      </c>
      <c r="R17">
        <v>47437.65</v>
      </c>
    </row>
    <row r="18" spans="1:20" ht="95.25" thickBot="1">
      <c r="A18" s="22">
        <v>4</v>
      </c>
      <c r="B18" s="23" t="s">
        <v>28</v>
      </c>
      <c r="C18" s="23" t="s">
        <v>31</v>
      </c>
      <c r="D18" s="23"/>
      <c r="E18" s="23"/>
      <c r="F18" s="23" t="s">
        <v>32</v>
      </c>
      <c r="G18" s="23">
        <v>5.3</v>
      </c>
      <c r="H18" s="23"/>
      <c r="I18" s="24">
        <v>28838.14</v>
      </c>
      <c r="J18" s="24">
        <f>'ТСЖ 1 КВ. 2018'!J18+'ТСЖ 2 КВ. 2018 '!R18-'ТСЖ 1 КВ. 2018'!N18</f>
        <v>691583.85000000009</v>
      </c>
      <c r="K18" s="24">
        <f>'ТСЖ 1 КВ. 2018'!K18+'ТСЖ 2 КВ. 2018 '!I18</f>
        <v>366805.04</v>
      </c>
      <c r="L18" s="31" t="s">
        <v>89</v>
      </c>
      <c r="M18" s="24" t="s">
        <v>90</v>
      </c>
      <c r="N18" s="24">
        <v>49008</v>
      </c>
      <c r="O18" s="24">
        <f t="shared" si="0"/>
        <v>317797.03999999998</v>
      </c>
      <c r="P18" s="21">
        <v>354498.41</v>
      </c>
      <c r="Q18">
        <f t="shared" si="1"/>
        <v>53.038404526074444</v>
      </c>
      <c r="R18">
        <v>51287.040000000001</v>
      </c>
    </row>
    <row r="19" spans="1:20" ht="95.25" thickBot="1">
      <c r="A19" s="22">
        <v>5</v>
      </c>
      <c r="B19" s="23" t="s">
        <v>28</v>
      </c>
      <c r="C19" s="23" t="s">
        <v>33</v>
      </c>
      <c r="D19" s="23"/>
      <c r="E19" s="23"/>
      <c r="F19" s="24">
        <v>2135.5</v>
      </c>
      <c r="G19" s="23">
        <v>5.3</v>
      </c>
      <c r="H19" s="23"/>
      <c r="I19" s="24">
        <v>21427.48</v>
      </c>
      <c r="J19" s="24">
        <f>'ТСЖ 1 КВ. 2018'!J19+'ТСЖ 2 КВ. 2018 '!R19-'ТСЖ 1 КВ. 2018'!N19</f>
        <v>434628.12000000005</v>
      </c>
      <c r="K19" s="24">
        <f>'ТСЖ 1 КВ. 2018'!K19+'ТСЖ 2 КВ. 2018 '!I19</f>
        <v>296529.27999999997</v>
      </c>
      <c r="L19" s="31" t="s">
        <v>89</v>
      </c>
      <c r="M19" s="24" t="s">
        <v>90</v>
      </c>
      <c r="N19" s="24">
        <v>50802</v>
      </c>
      <c r="O19" s="24">
        <f t="shared" si="0"/>
        <v>245727.27999999997</v>
      </c>
      <c r="P19" s="21">
        <v>309141.18</v>
      </c>
      <c r="Q19">
        <f t="shared" si="1"/>
        <v>68.225976726954514</v>
      </c>
      <c r="R19">
        <v>33954.449999999997</v>
      </c>
    </row>
    <row r="20" spans="1:20" ht="48" thickBot="1">
      <c r="A20" s="22">
        <v>6</v>
      </c>
      <c r="B20" s="23" t="s">
        <v>28</v>
      </c>
      <c r="C20" s="23" t="s">
        <v>34</v>
      </c>
      <c r="D20" s="23"/>
      <c r="E20" s="23"/>
      <c r="F20" s="24">
        <v>2828.3</v>
      </c>
      <c r="G20" s="23">
        <v>5.3</v>
      </c>
      <c r="H20" s="23"/>
      <c r="I20" s="24">
        <v>32036</v>
      </c>
      <c r="J20" s="24">
        <f>'ТСЖ 1 КВ. 2018'!J20+'ТСЖ 2 КВ. 2018 '!R20-'ТСЖ 1 КВ. 2018'!N20</f>
        <v>689079.06000000017</v>
      </c>
      <c r="K20" s="24">
        <f>'ТСЖ 1 КВ. 2018'!K20+'ТСЖ 2 КВ. 2018 '!I20</f>
        <v>533106.43000000005</v>
      </c>
      <c r="L20" s="24"/>
      <c r="M20" s="24"/>
      <c r="N20" s="24"/>
      <c r="O20" s="24">
        <f t="shared" si="0"/>
        <v>533106.43000000005</v>
      </c>
      <c r="P20" s="21">
        <v>420551</v>
      </c>
      <c r="Q20">
        <f t="shared" si="1"/>
        <v>77.365060258832983</v>
      </c>
      <c r="R20">
        <v>44898.42</v>
      </c>
    </row>
    <row r="21" spans="1:20" ht="48" thickBot="1">
      <c r="A21" s="22">
        <v>7</v>
      </c>
      <c r="B21" s="23" t="s">
        <v>28</v>
      </c>
      <c r="C21" s="23" t="s">
        <v>35</v>
      </c>
      <c r="D21" s="23"/>
      <c r="E21" s="23"/>
      <c r="F21" s="24">
        <v>1189</v>
      </c>
      <c r="G21" s="23">
        <v>5.3</v>
      </c>
      <c r="H21" s="23"/>
      <c r="I21" s="24">
        <v>12387.31</v>
      </c>
      <c r="J21" s="24">
        <f>'ТСЖ 1 КВ. 2018'!J21+'ТСЖ 2 КВ. 2018 '!R21-'ТСЖ 1 КВ. 2018'!N21</f>
        <v>290421.62999999995</v>
      </c>
      <c r="K21" s="24">
        <f>'ТСЖ 1 КВ. 2018'!K21+'ТСЖ 2 КВ. 2018 '!I21</f>
        <v>164994.34999999998</v>
      </c>
      <c r="L21" s="24"/>
      <c r="M21" s="24"/>
      <c r="N21" s="24"/>
      <c r="O21" s="24">
        <f t="shared" si="0"/>
        <v>164994.34999999998</v>
      </c>
      <c r="P21" s="21">
        <v>124839.69</v>
      </c>
      <c r="Q21">
        <f t="shared" si="1"/>
        <v>56.812004670588756</v>
      </c>
      <c r="R21">
        <v>18905.099999999999</v>
      </c>
    </row>
    <row r="22" spans="1:20" ht="48" thickBot="1">
      <c r="A22" s="22">
        <v>8</v>
      </c>
      <c r="B22" s="23" t="s">
        <v>28</v>
      </c>
      <c r="C22" s="23" t="s">
        <v>36</v>
      </c>
      <c r="D22" s="23"/>
      <c r="E22" s="23"/>
      <c r="F22" s="24">
        <v>2428.02</v>
      </c>
      <c r="G22" s="23">
        <v>5.3</v>
      </c>
      <c r="H22" s="23"/>
      <c r="I22" s="24">
        <v>26657.54</v>
      </c>
      <c r="J22" s="24">
        <f>'ТСЖ 1 КВ. 2018'!J22+'ТСЖ 2 КВ. 2018 '!R22-'ТСЖ 1 КВ. 2018'!N22</f>
        <v>562149.47000000009</v>
      </c>
      <c r="K22" s="24">
        <f>'ТСЖ 1 КВ. 2018'!K22+'ТСЖ 2 КВ. 2018 '!I22</f>
        <v>452529.52999999997</v>
      </c>
      <c r="L22" s="24"/>
      <c r="M22" s="24"/>
      <c r="N22" s="24"/>
      <c r="O22" s="24">
        <f t="shared" si="0"/>
        <v>452529.52999999997</v>
      </c>
      <c r="P22" s="21">
        <v>388089.32</v>
      </c>
      <c r="Q22">
        <f t="shared" si="1"/>
        <v>80.499858872054062</v>
      </c>
      <c r="R22">
        <v>38605.53</v>
      </c>
    </row>
    <row r="23" spans="1:20" ht="95.25" thickBot="1">
      <c r="A23" s="22">
        <v>9</v>
      </c>
      <c r="B23" s="23" t="s">
        <v>37</v>
      </c>
      <c r="C23" s="23" t="s">
        <v>38</v>
      </c>
      <c r="D23" s="23"/>
      <c r="E23" s="23"/>
      <c r="F23" s="23" t="s">
        <v>39</v>
      </c>
      <c r="G23" s="23">
        <v>5.3</v>
      </c>
      <c r="H23" s="23"/>
      <c r="I23" s="24">
        <v>26144.23</v>
      </c>
      <c r="J23" s="24">
        <f>'ТСЖ 1 КВ. 2018'!J23+'ТСЖ 2 КВ. 2018 '!R23-'ТСЖ 1 КВ. 2018'!N23</f>
        <v>276873.31</v>
      </c>
      <c r="K23" s="24">
        <f>'ТСЖ 1 КВ. 2018'!K23+'ТСЖ 2 КВ. 2018 '!I23</f>
        <v>227286.19999999998</v>
      </c>
      <c r="L23" s="31" t="s">
        <v>89</v>
      </c>
      <c r="M23" s="24" t="s">
        <v>90</v>
      </c>
      <c r="N23" s="24">
        <v>25179</v>
      </c>
      <c r="O23" s="24">
        <f t="shared" si="0"/>
        <v>202107.19999999998</v>
      </c>
      <c r="P23" s="21">
        <v>146097.04999999999</v>
      </c>
      <c r="Q23">
        <f t="shared" si="1"/>
        <v>82.090324993766998</v>
      </c>
      <c r="R23">
        <v>18046.5</v>
      </c>
    </row>
    <row r="24" spans="1:20" ht="95.25" thickBot="1">
      <c r="A24" s="22">
        <v>10</v>
      </c>
      <c r="B24" s="23" t="s">
        <v>37</v>
      </c>
      <c r="C24" s="23" t="s">
        <v>40</v>
      </c>
      <c r="D24" s="23"/>
      <c r="E24" s="23"/>
      <c r="F24" s="23" t="s">
        <v>41</v>
      </c>
      <c r="G24" s="23">
        <v>5.3</v>
      </c>
      <c r="H24" s="23"/>
      <c r="I24" s="24">
        <v>17293.87</v>
      </c>
      <c r="J24" s="24">
        <f>'ТСЖ 1 КВ. 2018'!J24+'ТСЖ 2 КВ. 2018 '!R24-'ТСЖ 1 КВ. 2018'!N24</f>
        <v>517034.83999999997</v>
      </c>
      <c r="K24" s="24">
        <f>'ТСЖ 1 КВ. 2018'!K24+'ТСЖ 2 КВ. 2018 '!I24</f>
        <v>316273.01</v>
      </c>
      <c r="L24" s="31" t="s">
        <v>89</v>
      </c>
      <c r="M24" s="24" t="s">
        <v>90</v>
      </c>
      <c r="N24" s="24">
        <v>49512</v>
      </c>
      <c r="O24" s="24">
        <f t="shared" si="0"/>
        <v>266761.01</v>
      </c>
      <c r="P24" s="21">
        <v>235115.53</v>
      </c>
      <c r="Q24">
        <f t="shared" si="1"/>
        <v>61.170541234706747</v>
      </c>
      <c r="R24">
        <v>33696.870000000003</v>
      </c>
    </row>
    <row r="25" spans="1:20" ht="95.25" thickBot="1">
      <c r="A25" s="22">
        <v>11</v>
      </c>
      <c r="B25" s="23" t="s">
        <v>28</v>
      </c>
      <c r="C25" s="23" t="s">
        <v>42</v>
      </c>
      <c r="D25" s="23"/>
      <c r="E25" s="23"/>
      <c r="F25" s="23" t="s">
        <v>43</v>
      </c>
      <c r="G25" s="23">
        <v>5.3</v>
      </c>
      <c r="H25" s="23"/>
      <c r="I25" s="24">
        <v>26293.33</v>
      </c>
      <c r="J25" s="24">
        <f>'ТСЖ 1 КВ. 2018'!J25+'ТСЖ 2 КВ. 2018 '!R25-'ТСЖ 1 КВ. 2018'!N25</f>
        <v>512324.42000000004</v>
      </c>
      <c r="K25" s="24">
        <f>'ТСЖ 1 КВ. 2018'!K25+'ТСЖ 2 КВ. 2018 '!I25</f>
        <v>377507.13</v>
      </c>
      <c r="L25" s="31" t="s">
        <v>89</v>
      </c>
      <c r="M25" s="24" t="s">
        <v>90</v>
      </c>
      <c r="N25" s="24">
        <v>48906</v>
      </c>
      <c r="O25" s="24">
        <f t="shared" si="0"/>
        <v>328601.13</v>
      </c>
      <c r="P25" s="21">
        <v>287247.24</v>
      </c>
      <c r="Q25">
        <f t="shared" si="1"/>
        <v>73.68517198536037</v>
      </c>
      <c r="R25">
        <v>33300.959999999999</v>
      </c>
    </row>
    <row r="26" spans="1:20" ht="95.25" thickBot="1">
      <c r="A26" s="22">
        <v>12</v>
      </c>
      <c r="B26" s="23" t="s">
        <v>28</v>
      </c>
      <c r="C26" s="23" t="s">
        <v>72</v>
      </c>
      <c r="D26" s="23"/>
      <c r="E26" s="23"/>
      <c r="F26" s="23" t="s">
        <v>44</v>
      </c>
      <c r="G26" s="23">
        <v>5.3</v>
      </c>
      <c r="H26" s="23"/>
      <c r="I26" s="24">
        <v>46027.360000000001</v>
      </c>
      <c r="J26" s="24">
        <f>'ТСЖ 1 КВ. 2018'!J26+'ТСЖ 2 КВ. 2018 '!R26-'ТСЖ 1 КВ. 2018'!N26</f>
        <v>477171.08</v>
      </c>
      <c r="K26" s="24">
        <f>'ТСЖ 1 КВ. 2018'!K26+'ТСЖ 2 КВ. 2018 '!I26</f>
        <v>353779.51</v>
      </c>
      <c r="L26" s="31" t="s">
        <v>89</v>
      </c>
      <c r="M26" s="24" t="s">
        <v>90</v>
      </c>
      <c r="N26" s="24">
        <v>49212</v>
      </c>
      <c r="O26" s="24">
        <f t="shared" si="0"/>
        <v>304567.51</v>
      </c>
      <c r="P26" s="21">
        <v>253163.82</v>
      </c>
      <c r="Q26">
        <f t="shared" si="1"/>
        <v>74.141020868238712</v>
      </c>
      <c r="R26">
        <v>30962.07</v>
      </c>
    </row>
    <row r="27" spans="1:20" ht="95.25" thickBot="1">
      <c r="A27" s="22">
        <v>13</v>
      </c>
      <c r="B27" s="23" t="s">
        <v>28</v>
      </c>
      <c r="C27" s="23" t="s">
        <v>73</v>
      </c>
      <c r="D27" s="23"/>
      <c r="E27" s="23"/>
      <c r="F27" s="23" t="s">
        <v>45</v>
      </c>
      <c r="G27" s="23">
        <v>5.3</v>
      </c>
      <c r="H27" s="23"/>
      <c r="I27" s="24">
        <v>15842.79</v>
      </c>
      <c r="J27" s="24">
        <f>'ТСЖ 1 КВ. 2018'!J27+'ТСЖ 2 КВ. 2018 '!R27-'ТСЖ 1 КВ. 2018'!N27</f>
        <v>415562.40999999992</v>
      </c>
      <c r="K27" s="24">
        <f>'ТСЖ 1 КВ. 2018'!K27+'ТСЖ 2 КВ. 2018 '!I27</f>
        <v>324679.74</v>
      </c>
      <c r="L27" s="31" t="s">
        <v>89</v>
      </c>
      <c r="M27" s="24" t="s">
        <v>90</v>
      </c>
      <c r="N27" s="24">
        <v>19743</v>
      </c>
      <c r="O27" s="24">
        <f t="shared" si="0"/>
        <v>304936.74</v>
      </c>
      <c r="P27" s="21">
        <v>252978.03</v>
      </c>
      <c r="Q27">
        <f t="shared" si="1"/>
        <v>78.130199504810861</v>
      </c>
      <c r="R27">
        <v>27028.41</v>
      </c>
    </row>
    <row r="28" spans="1:20" ht="48" thickBot="1">
      <c r="A28" s="22">
        <v>14</v>
      </c>
      <c r="B28" s="23" t="s">
        <v>28</v>
      </c>
      <c r="C28" s="23" t="s">
        <v>74</v>
      </c>
      <c r="D28" s="23"/>
      <c r="E28" s="23"/>
      <c r="F28" s="24">
        <v>2087.9</v>
      </c>
      <c r="G28" s="23">
        <v>5.3</v>
      </c>
      <c r="H28" s="23"/>
      <c r="I28" s="24">
        <v>26758.66</v>
      </c>
      <c r="J28" s="24">
        <f>'ТСЖ 1 КВ. 2018'!J28+'ТСЖ 2 КВ. 2018 '!R28-'ТСЖ 1 КВ. 2018'!N28</f>
        <v>510445.67</v>
      </c>
      <c r="K28" s="24">
        <f>'ТСЖ 1 КВ. 2018'!K28+'ТСЖ 2 КВ. 2018 '!I28</f>
        <v>363729.85</v>
      </c>
      <c r="L28" s="24"/>
      <c r="M28" s="24"/>
      <c r="N28" s="24"/>
      <c r="O28" s="24">
        <f t="shared" si="0"/>
        <v>363729.85</v>
      </c>
      <c r="P28" s="21">
        <v>243907.98</v>
      </c>
      <c r="Q28">
        <f t="shared" si="1"/>
        <v>71.257309323438861</v>
      </c>
      <c r="R28">
        <v>33197.61</v>
      </c>
    </row>
    <row r="29" spans="1:20" ht="48" thickBot="1">
      <c r="A29" s="22">
        <v>15</v>
      </c>
      <c r="B29" s="23" t="s">
        <v>28</v>
      </c>
      <c r="C29" s="23" t="s">
        <v>75</v>
      </c>
      <c r="D29" s="23"/>
      <c r="E29" s="23"/>
      <c r="F29" s="23" t="s">
        <v>46</v>
      </c>
      <c r="G29" s="23">
        <v>5.3</v>
      </c>
      <c r="H29" s="23"/>
      <c r="I29" s="24">
        <v>35308.31</v>
      </c>
      <c r="J29" s="24">
        <f>'ТСЖ 1 КВ. 2018'!J29+'ТСЖ 2 КВ. 2018 '!R29-'ТСЖ 1 КВ. 2018'!N29</f>
        <v>506754.2</v>
      </c>
      <c r="K29" s="24">
        <f>'ТСЖ 1 КВ. 2018'!K29+'ТСЖ 2 КВ. 2018 '!I29</f>
        <v>384201.68</v>
      </c>
      <c r="L29" s="24"/>
      <c r="M29" s="24"/>
      <c r="N29" s="24"/>
      <c r="O29" s="24">
        <f t="shared" si="0"/>
        <v>384201.68</v>
      </c>
      <c r="P29" s="21">
        <v>223464.31</v>
      </c>
      <c r="Q29">
        <f t="shared" si="1"/>
        <v>75.816180704570385</v>
      </c>
      <c r="R29">
        <v>33165.81</v>
      </c>
    </row>
    <row r="30" spans="1:20">
      <c r="A30" s="2"/>
      <c r="R30">
        <f>SUM(R15:R29)</f>
        <v>550366.11</v>
      </c>
      <c r="T30" s="3">
        <f>SUM(I15:I29)</f>
        <v>460446.94999999995</v>
      </c>
    </row>
    <row r="31" spans="1:20" ht="15.75">
      <c r="A31" s="4" t="s">
        <v>76</v>
      </c>
      <c r="C31" s="17" t="s">
        <v>77</v>
      </c>
      <c r="D31" s="17"/>
      <c r="E31" s="17"/>
      <c r="F31" s="17"/>
      <c r="G31" s="17"/>
      <c r="H31" s="17"/>
      <c r="I31" s="26"/>
    </row>
    <row r="32" spans="1:20" ht="15.75">
      <c r="A32" s="2"/>
      <c r="C32" s="203" t="s">
        <v>88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>
      <c r="A33" s="2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>
      <c r="A34" s="2"/>
    </row>
    <row r="35" spans="1:15" s="27" customFormat="1" ht="15.75">
      <c r="A35" s="4" t="s">
        <v>87</v>
      </c>
      <c r="I35" s="28"/>
    </row>
    <row r="36" spans="1:15" s="27" customFormat="1" ht="15.75">
      <c r="A36" s="4"/>
      <c r="I36" s="28"/>
    </row>
    <row r="37" spans="1:15" s="27" customFormat="1" ht="15.75">
      <c r="A37" s="4"/>
      <c r="I37" s="28"/>
    </row>
    <row r="38" spans="1:15" s="27" customFormat="1" ht="15.75">
      <c r="A38" s="4" t="s">
        <v>47</v>
      </c>
      <c r="I38" s="28"/>
    </row>
    <row r="39" spans="1:15" s="27" customFormat="1" ht="15.75">
      <c r="A39" s="30" t="s">
        <v>48</v>
      </c>
      <c r="I39" s="28"/>
    </row>
    <row r="40" spans="1:15">
      <c r="A40" s="1"/>
    </row>
    <row r="41" spans="1:15">
      <c r="A41" s="1"/>
    </row>
    <row r="42" spans="1:15">
      <c r="A42" s="1"/>
    </row>
    <row r="43" spans="1:15">
      <c r="A43" s="1"/>
    </row>
    <row r="44" spans="1:15">
      <c r="A44" s="1"/>
    </row>
    <row r="45" spans="1:15">
      <c r="A45" s="1"/>
    </row>
    <row r="46" spans="1:15">
      <c r="A46" s="1"/>
    </row>
    <row r="47" spans="1:15">
      <c r="A47" s="1"/>
    </row>
    <row r="48" spans="1:1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</sheetData>
  <mergeCells count="25">
    <mergeCell ref="A11:A13"/>
    <mergeCell ref="B11:B13"/>
    <mergeCell ref="C11:C13"/>
    <mergeCell ref="D11:D13"/>
    <mergeCell ref="E11:E13"/>
    <mergeCell ref="A1:O1"/>
    <mergeCell ref="A2:O2"/>
    <mergeCell ref="A3:O3"/>
    <mergeCell ref="D5:M5"/>
    <mergeCell ref="D8:L8"/>
    <mergeCell ref="L12:L13"/>
    <mergeCell ref="M12:M13"/>
    <mergeCell ref="N12:N13"/>
    <mergeCell ref="C32:O32"/>
    <mergeCell ref="C33:O33"/>
    <mergeCell ref="F11:F13"/>
    <mergeCell ref="G11:G13"/>
    <mergeCell ref="H11:I11"/>
    <mergeCell ref="J11:K11"/>
    <mergeCell ref="L11:N11"/>
    <mergeCell ref="O11:O13"/>
    <mergeCell ref="H12:H13"/>
    <mergeCell ref="I12:I13"/>
    <mergeCell ref="J12:J13"/>
    <mergeCell ref="K12:K13"/>
  </mergeCells>
  <pageMargins left="0.70866141732283472" right="0.70866141732283472" top="0.74803149606299213" bottom="0.35433070866141736" header="0.31496062992125984" footer="0.31496062992125984"/>
  <pageSetup paperSize="9" scale="58" fitToHeight="2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workbookViewId="0">
      <selection activeCell="W28" sqref="W28"/>
    </sheetView>
  </sheetViews>
  <sheetFormatPr defaultColWidth="9.140625" defaultRowHeight="15"/>
  <cols>
    <col min="1" max="2" width="9.140625" style="13"/>
    <col min="3" max="3" width="15.42578125" style="13" customWidth="1"/>
    <col min="4" max="6" width="9.140625" style="13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9.140625" style="13"/>
    <col min="13" max="13" width="17" style="13" customWidth="1"/>
    <col min="14" max="14" width="10.42578125" style="13" customWidth="1"/>
    <col min="15" max="15" width="13.42578125" style="13" customWidth="1"/>
    <col min="16" max="16" width="9.140625" style="13"/>
    <col min="17" max="17" width="14" style="13" customWidth="1"/>
    <col min="18" max="18" width="11.5703125" style="13" bestFit="1" customWidth="1"/>
    <col min="19" max="16384" width="9.140625" style="13"/>
  </cols>
  <sheetData>
    <row r="1" spans="1:1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s="17" customFormat="1" ht="15.7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s="17" customFormat="1" ht="31.5" customHeight="1">
      <c r="A5" s="159" t="s">
        <v>66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ht="15.75">
      <c r="A6" s="158" t="s">
        <v>85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1:15" ht="15.75">
      <c r="A7" s="1" t="s">
        <v>4</v>
      </c>
      <c r="D7" s="18" t="s">
        <v>50</v>
      </c>
      <c r="E7" s="17"/>
      <c r="F7" s="17"/>
      <c r="G7" s="17"/>
      <c r="H7" s="17"/>
      <c r="I7" s="17"/>
      <c r="J7" s="17"/>
      <c r="K7" s="17"/>
    </row>
    <row r="8" spans="1:15" ht="14.25" customHeight="1">
      <c r="D8" s="200" t="s">
        <v>6</v>
      </c>
      <c r="E8" s="200"/>
      <c r="F8" s="200"/>
      <c r="G8" s="200"/>
      <c r="H8" s="200"/>
      <c r="I8" s="200"/>
      <c r="J8" s="200"/>
      <c r="K8" s="200"/>
      <c r="L8" s="200"/>
      <c r="M8" s="200"/>
    </row>
    <row r="9" spans="1:15" ht="15.75">
      <c r="A9" s="1" t="s">
        <v>7</v>
      </c>
      <c r="D9" s="18" t="s">
        <v>51</v>
      </c>
      <c r="E9" s="17"/>
      <c r="F9" s="17"/>
      <c r="G9" s="17"/>
      <c r="H9" s="17"/>
    </row>
    <row r="10" spans="1:15">
      <c r="A10" s="1" t="s">
        <v>8</v>
      </c>
    </row>
    <row r="11" spans="1:15" ht="9.75" customHeight="1">
      <c r="A11" s="5"/>
      <c r="B11" s="14"/>
      <c r="C11" s="14"/>
      <c r="D11" s="201" t="s">
        <v>9</v>
      </c>
      <c r="E11" s="201"/>
      <c r="F11" s="201"/>
      <c r="G11" s="201"/>
      <c r="H11" s="201"/>
      <c r="I11" s="201"/>
      <c r="J11" s="201"/>
      <c r="K11" s="201"/>
      <c r="L11" s="201"/>
    </row>
    <row r="12" spans="1:15" ht="15.75">
      <c r="A12" s="18" t="s">
        <v>61</v>
      </c>
    </row>
    <row r="13" spans="1:15" ht="15.75">
      <c r="A13" s="18" t="s">
        <v>62</v>
      </c>
    </row>
    <row r="14" spans="1:15" ht="42" customHeight="1">
      <c r="A14" s="220" t="s">
        <v>10</v>
      </c>
      <c r="B14" s="224" t="s">
        <v>11</v>
      </c>
      <c r="C14" s="220" t="s">
        <v>12</v>
      </c>
      <c r="D14" s="220" t="s">
        <v>13</v>
      </c>
      <c r="E14" s="220" t="s">
        <v>14</v>
      </c>
      <c r="F14" s="220" t="s">
        <v>15</v>
      </c>
      <c r="G14" s="220" t="s">
        <v>16</v>
      </c>
      <c r="H14" s="223" t="s">
        <v>17</v>
      </c>
      <c r="I14" s="223"/>
      <c r="J14" s="223" t="s">
        <v>18</v>
      </c>
      <c r="K14" s="223"/>
      <c r="L14" s="223" t="s">
        <v>19</v>
      </c>
      <c r="M14" s="223"/>
      <c r="N14" s="223"/>
      <c r="O14" s="223" t="s">
        <v>20</v>
      </c>
    </row>
    <row r="15" spans="1:15">
      <c r="A15" s="221"/>
      <c r="B15" s="225"/>
      <c r="C15" s="221"/>
      <c r="D15" s="221"/>
      <c r="E15" s="221"/>
      <c r="F15" s="221"/>
      <c r="G15" s="221"/>
      <c r="H15" s="223" t="s">
        <v>21</v>
      </c>
      <c r="I15" s="223" t="s">
        <v>22</v>
      </c>
      <c r="J15" s="223" t="s">
        <v>23</v>
      </c>
      <c r="K15" s="223" t="s">
        <v>24</v>
      </c>
      <c r="L15" s="223" t="s">
        <v>25</v>
      </c>
      <c r="M15" s="223" t="s">
        <v>26</v>
      </c>
      <c r="N15" s="223" t="s">
        <v>27</v>
      </c>
      <c r="O15" s="223"/>
    </row>
    <row r="16" spans="1:15" ht="99" customHeight="1">
      <c r="A16" s="222"/>
      <c r="B16" s="226"/>
      <c r="C16" s="222"/>
      <c r="D16" s="222"/>
      <c r="E16" s="222"/>
      <c r="F16" s="222"/>
      <c r="G16" s="222"/>
      <c r="H16" s="223"/>
      <c r="I16" s="223"/>
      <c r="J16" s="223"/>
      <c r="K16" s="223"/>
      <c r="L16" s="223"/>
      <c r="M16" s="223"/>
      <c r="N16" s="223"/>
      <c r="O16" s="223"/>
    </row>
    <row r="17" spans="1:20">
      <c r="A17" s="7">
        <v>1</v>
      </c>
      <c r="B17" s="6">
        <v>1</v>
      </c>
      <c r="C17" s="7">
        <v>2</v>
      </c>
      <c r="D17" s="7">
        <v>3</v>
      </c>
      <c r="E17" s="7">
        <v>4</v>
      </c>
      <c r="F17" s="7">
        <v>5</v>
      </c>
      <c r="G17" s="7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8">
        <v>14</v>
      </c>
    </row>
    <row r="18" spans="1:20" s="15" customFormat="1" ht="51.75" customHeight="1">
      <c r="A18" s="12">
        <v>1</v>
      </c>
      <c r="B18" s="12" t="s">
        <v>28</v>
      </c>
      <c r="C18" s="12" t="s">
        <v>52</v>
      </c>
      <c r="D18" s="12"/>
      <c r="E18" s="12"/>
      <c r="F18" s="12" t="s">
        <v>53</v>
      </c>
      <c r="G18" s="12">
        <v>5.3</v>
      </c>
      <c r="H18" s="12"/>
      <c r="I18" s="16">
        <f>124021.35+42.43</f>
        <v>124063.78</v>
      </c>
      <c r="J18" s="16">
        <f>'УК 4 кв.17'!J18:J20-'УК 4 кв.17'!N18-'УК 4 кв.17'!N19-'УК 4 кв.17'!N20+'УК 1кв. 2018г.'!Q18+2006.9</f>
        <v>1543815.06</v>
      </c>
      <c r="K18" s="16">
        <f>'УК 4 кв.17'!O18:O20+'УК 1кв. 2018г.'!I18</f>
        <v>1392526.3800000001</v>
      </c>
      <c r="L18" s="10"/>
      <c r="M18" s="11"/>
      <c r="N18" s="20"/>
      <c r="O18" s="16">
        <f>K18</f>
        <v>1392526.3800000001</v>
      </c>
      <c r="P18">
        <f>K18/J18*100</f>
        <v>90.200336561038611</v>
      </c>
      <c r="Q18" s="15">
        <f>147994.05+1873.41</f>
        <v>149867.46</v>
      </c>
      <c r="R18" s="19">
        <f>J18-K18</f>
        <v>151288.67999999993</v>
      </c>
      <c r="T18" s="19"/>
    </row>
    <row r="19" spans="1:20" s="15" customFormat="1" ht="48.75" customHeight="1">
      <c r="A19" s="12">
        <v>2</v>
      </c>
      <c r="B19" s="12" t="s">
        <v>28</v>
      </c>
      <c r="C19" s="12" t="s">
        <v>57</v>
      </c>
      <c r="D19" s="12"/>
      <c r="E19" s="12"/>
      <c r="F19" s="12" t="s">
        <v>58</v>
      </c>
      <c r="G19" s="12">
        <v>7.32</v>
      </c>
      <c r="H19" s="12"/>
      <c r="I19" s="16">
        <f>49099.75+108.77</f>
        <v>49208.52</v>
      </c>
      <c r="J19" s="16">
        <f>'УК 4 кв.17'!J21+'УК 1кв. 2018г.'!Q19+483.93</f>
        <v>199854.97</v>
      </c>
      <c r="K19" s="16">
        <f>'УК 4 кв.17'!K21+'УК 1кв. 2018г.'!I19</f>
        <v>119720.04000000001</v>
      </c>
      <c r="L19" s="9"/>
      <c r="M19" s="9"/>
      <c r="N19" s="9"/>
      <c r="O19" s="16">
        <f>K19</f>
        <v>119720.04000000001</v>
      </c>
      <c r="P19">
        <f>K19/J19*100</f>
        <v>59.903458993288986</v>
      </c>
      <c r="Q19" s="15">
        <f>66104.07+998.81</f>
        <v>67102.880000000005</v>
      </c>
      <c r="R19" s="19">
        <f>J19-K19</f>
        <v>80134.929999999993</v>
      </c>
    </row>
    <row r="20" spans="1:20">
      <c r="A20" s="2"/>
    </row>
    <row r="21" spans="1:20" s="17" customFormat="1" ht="15.75">
      <c r="A21" s="4" t="s">
        <v>64</v>
      </c>
      <c r="C21" s="17" t="s">
        <v>63</v>
      </c>
    </row>
    <row r="22" spans="1:20" s="17" customFormat="1" ht="15.75">
      <c r="A22" s="4"/>
      <c r="C22" s="17" t="s">
        <v>83</v>
      </c>
    </row>
    <row r="23" spans="1:20" s="17" customFormat="1" ht="15.75">
      <c r="A23" s="4"/>
    </row>
    <row r="24" spans="1:20" s="17" customFormat="1" ht="15.75">
      <c r="A24" s="4"/>
    </row>
    <row r="25" spans="1:20" s="17" customFormat="1" ht="15.75">
      <c r="A25" s="4" t="s">
        <v>84</v>
      </c>
    </row>
    <row r="26" spans="1:20" s="17" customFormat="1" ht="15.75">
      <c r="A26" s="4" t="s">
        <v>59</v>
      </c>
    </row>
    <row r="27" spans="1:20">
      <c r="A27" s="2" t="s">
        <v>48</v>
      </c>
    </row>
  </sheetData>
  <mergeCells count="26">
    <mergeCell ref="O14:O16"/>
    <mergeCell ref="H15:H16"/>
    <mergeCell ref="I15:I16"/>
    <mergeCell ref="J15:J16"/>
    <mergeCell ref="K15:K16"/>
    <mergeCell ref="L15:L16"/>
    <mergeCell ref="M15:M16"/>
    <mergeCell ref="N15:N16"/>
    <mergeCell ref="D8:M8"/>
    <mergeCell ref="D11:L11"/>
    <mergeCell ref="A14:A16"/>
    <mergeCell ref="B14:B16"/>
    <mergeCell ref="C14:C16"/>
    <mergeCell ref="D14:D16"/>
    <mergeCell ref="E14:E16"/>
    <mergeCell ref="F14:F16"/>
    <mergeCell ref="G14:G16"/>
    <mergeCell ref="H14:I14"/>
    <mergeCell ref="J14:K14"/>
    <mergeCell ref="L14:N14"/>
    <mergeCell ref="A6:O6"/>
    <mergeCell ref="A1:O1"/>
    <mergeCell ref="A2:O2"/>
    <mergeCell ref="A3:O3"/>
    <mergeCell ref="A4:O4"/>
    <mergeCell ref="A5:O5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"/>
  <sheetViews>
    <sheetView workbookViewId="0">
      <selection activeCell="W28" sqref="W28"/>
    </sheetView>
  </sheetViews>
  <sheetFormatPr defaultRowHeight="15"/>
  <cols>
    <col min="3" max="3" width="15.42578125" customWidth="1"/>
    <col min="9" max="9" width="13.5703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4.42578125" customWidth="1"/>
    <col min="15" max="15" width="11.140625" customWidth="1"/>
    <col min="16" max="16" width="11.28515625" customWidth="1"/>
    <col min="17" max="17" width="9.140625" customWidth="1"/>
    <col min="18" max="18" width="11.7109375" customWidth="1"/>
  </cols>
  <sheetData>
    <row r="1" spans="1:18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8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8" s="13" customFormat="1" ht="15.75">
      <c r="A3" s="158" t="s">
        <v>81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8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</row>
    <row r="5" spans="1:18" s="13" customFormat="1" ht="14.2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</row>
    <row r="6" spans="1:18" s="13" customFormat="1" ht="15.75">
      <c r="A6" s="1" t="s">
        <v>7</v>
      </c>
      <c r="D6" s="18" t="s">
        <v>68</v>
      </c>
      <c r="E6" s="17"/>
      <c r="F6" s="17"/>
      <c r="G6" s="17"/>
      <c r="H6" s="17"/>
    </row>
    <row r="7" spans="1:18" s="13" customFormat="1">
      <c r="A7" s="1" t="s">
        <v>8</v>
      </c>
    </row>
    <row r="8" spans="1:18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</row>
    <row r="9" spans="1:18" s="13" customFormat="1" ht="15.75">
      <c r="A9" s="18" t="s">
        <v>69</v>
      </c>
    </row>
    <row r="10" spans="1:18" s="13" customFormat="1" ht="15.75">
      <c r="A10" s="18" t="s">
        <v>70</v>
      </c>
    </row>
    <row r="11" spans="1:18" s="13" customFormat="1" ht="42" customHeight="1">
      <c r="A11" s="220" t="s">
        <v>10</v>
      </c>
      <c r="B11" s="224" t="s">
        <v>11</v>
      </c>
      <c r="C11" s="220" t="s">
        <v>12</v>
      </c>
      <c r="D11" s="220" t="s">
        <v>13</v>
      </c>
      <c r="E11" s="220" t="s">
        <v>14</v>
      </c>
      <c r="F11" s="220" t="s">
        <v>15</v>
      </c>
      <c r="G11" s="220" t="s">
        <v>16</v>
      </c>
      <c r="H11" s="223" t="s">
        <v>17</v>
      </c>
      <c r="I11" s="223"/>
      <c r="J11" s="223" t="s">
        <v>18</v>
      </c>
      <c r="K11" s="223"/>
      <c r="L11" s="223" t="s">
        <v>19</v>
      </c>
      <c r="M11" s="223"/>
      <c r="N11" s="223"/>
      <c r="O11" s="223" t="s">
        <v>20</v>
      </c>
    </row>
    <row r="12" spans="1:18" s="13" customFormat="1">
      <c r="A12" s="221"/>
      <c r="B12" s="225"/>
      <c r="C12" s="221"/>
      <c r="D12" s="221"/>
      <c r="E12" s="221"/>
      <c r="F12" s="221"/>
      <c r="G12" s="221"/>
      <c r="H12" s="223" t="s">
        <v>21</v>
      </c>
      <c r="I12" s="223" t="s">
        <v>22</v>
      </c>
      <c r="J12" s="223" t="s">
        <v>23</v>
      </c>
      <c r="K12" s="223" t="s">
        <v>24</v>
      </c>
      <c r="L12" s="223" t="s">
        <v>25</v>
      </c>
      <c r="M12" s="223" t="s">
        <v>26</v>
      </c>
      <c r="N12" s="223" t="s">
        <v>27</v>
      </c>
      <c r="O12" s="223"/>
    </row>
    <row r="13" spans="1:18" s="13" customFormat="1" ht="99" customHeight="1">
      <c r="A13" s="222"/>
      <c r="B13" s="226"/>
      <c r="C13" s="222"/>
      <c r="D13" s="222"/>
      <c r="E13" s="222"/>
      <c r="F13" s="222"/>
      <c r="G13" s="222"/>
      <c r="H13" s="223"/>
      <c r="I13" s="223"/>
      <c r="J13" s="223"/>
      <c r="K13" s="223"/>
      <c r="L13" s="223"/>
      <c r="M13" s="223"/>
      <c r="N13" s="223"/>
      <c r="O13" s="223"/>
    </row>
    <row r="14" spans="1:18" s="13" customFormat="1">
      <c r="A14" s="7">
        <v>1</v>
      </c>
      <c r="B14" s="6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  <c r="O14" s="8">
        <v>14</v>
      </c>
    </row>
    <row r="15" spans="1:18" ht="48" thickBot="1">
      <c r="A15" s="22">
        <v>1</v>
      </c>
      <c r="B15" s="23" t="s">
        <v>28</v>
      </c>
      <c r="C15" s="23" t="s">
        <v>29</v>
      </c>
      <c r="D15" s="23"/>
      <c r="E15" s="23"/>
      <c r="F15" s="25">
        <v>4750.3</v>
      </c>
      <c r="G15" s="23">
        <v>5.3</v>
      </c>
      <c r="H15" s="23"/>
      <c r="I15" s="24">
        <v>56407.75</v>
      </c>
      <c r="J15" s="24">
        <f>'ТСЖ 4 кв.17'!J15+'ТСЖ 1 КВ. 2018'!R15-'ТСЖ 4 кв.17'!N15</f>
        <v>1084353.6199999999</v>
      </c>
      <c r="K15" s="24">
        <f>'ТСЖ 4 кв.17'!O15+'ТСЖ 1 КВ. 2018'!I15</f>
        <v>635259.57000000007</v>
      </c>
      <c r="L15" s="24"/>
      <c r="M15" s="24"/>
      <c r="N15" s="24"/>
      <c r="O15" s="24">
        <f>K15</f>
        <v>635259.57000000007</v>
      </c>
      <c r="P15" s="21">
        <v>520817.08</v>
      </c>
      <c r="Q15">
        <f>K15/J15*100</f>
        <v>58.584170171350571</v>
      </c>
      <c r="R15">
        <v>75529.77</v>
      </c>
    </row>
    <row r="16" spans="1:18" ht="48" thickBot="1">
      <c r="A16" s="22">
        <v>2</v>
      </c>
      <c r="B16" s="23" t="s">
        <v>28</v>
      </c>
      <c r="C16" s="23" t="s">
        <v>30</v>
      </c>
      <c r="D16" s="23"/>
      <c r="E16" s="23"/>
      <c r="F16" s="25">
        <v>1908.8</v>
      </c>
      <c r="G16" s="23">
        <v>5.3</v>
      </c>
      <c r="H16" s="23"/>
      <c r="I16" s="24">
        <v>29619.35</v>
      </c>
      <c r="J16" s="24">
        <f>'ТСЖ 4 кв.17'!J16+'ТСЖ 1 КВ. 2018'!R16-'ТСЖ 4 кв.17'!N16</f>
        <v>435232.27999999997</v>
      </c>
      <c r="K16" s="24">
        <f>'ТСЖ 4 кв.17'!O16+'ТСЖ 1 КВ. 2018'!I16</f>
        <v>355780.89999999997</v>
      </c>
      <c r="L16" s="24"/>
      <c r="M16" s="24"/>
      <c r="N16" s="24"/>
      <c r="O16" s="24">
        <f t="shared" ref="O16:O29" si="0">K16</f>
        <v>355780.89999999997</v>
      </c>
      <c r="P16" s="21">
        <v>264064.82</v>
      </c>
      <c r="Q16">
        <f t="shared" ref="Q16:Q29" si="1">K16/J16*100</f>
        <v>81.74506265941487</v>
      </c>
      <c r="R16">
        <v>30349.919999999998</v>
      </c>
    </row>
    <row r="17" spans="1:18" ht="48" thickBot="1">
      <c r="A17" s="22">
        <v>3</v>
      </c>
      <c r="B17" s="23" t="s">
        <v>28</v>
      </c>
      <c r="C17" s="23" t="s">
        <v>71</v>
      </c>
      <c r="D17" s="23"/>
      <c r="E17" s="23"/>
      <c r="F17" s="25">
        <v>1908.8</v>
      </c>
      <c r="G17" s="23">
        <v>5.3</v>
      </c>
      <c r="H17" s="23"/>
      <c r="I17" s="24">
        <v>31347.19</v>
      </c>
      <c r="J17" s="24">
        <f>'ТСЖ 4 кв.17'!J17+'ТСЖ 1 КВ. 2018'!R17-'ТСЖ 4 кв.17'!N17</f>
        <v>680509.4</v>
      </c>
      <c r="K17" s="24">
        <f>'ТСЖ 4 кв.17'!O17+'ТСЖ 1 КВ. 2018'!I17</f>
        <v>429890.44</v>
      </c>
      <c r="L17" s="24"/>
      <c r="M17" s="24"/>
      <c r="N17" s="24"/>
      <c r="O17" s="24">
        <f t="shared" si="0"/>
        <v>429890.44</v>
      </c>
      <c r="P17" s="21">
        <v>378042.71</v>
      </c>
      <c r="Q17">
        <f t="shared" si="1"/>
        <v>63.171859198418126</v>
      </c>
      <c r="R17">
        <v>47437.65</v>
      </c>
    </row>
    <row r="18" spans="1:18" ht="48" thickBot="1">
      <c r="A18" s="22">
        <v>4</v>
      </c>
      <c r="B18" s="23" t="s">
        <v>28</v>
      </c>
      <c r="C18" s="23" t="s">
        <v>31</v>
      </c>
      <c r="D18" s="23"/>
      <c r="E18" s="23"/>
      <c r="F18" s="23" t="s">
        <v>32</v>
      </c>
      <c r="G18" s="23">
        <v>5.3</v>
      </c>
      <c r="H18" s="23"/>
      <c r="I18" s="24">
        <v>25530.61</v>
      </c>
      <c r="J18" s="24">
        <f>'ТСЖ 4 кв.17'!J18+'ТСЖ 1 КВ. 2018'!R18-'ТСЖ 4 кв.17'!N18</f>
        <v>640296.81000000006</v>
      </c>
      <c r="K18" s="24">
        <f>'ТСЖ 4 кв.17'!O18+'ТСЖ 1 КВ. 2018'!I18</f>
        <v>337966.89999999997</v>
      </c>
      <c r="L18" s="29"/>
      <c r="M18" s="20"/>
      <c r="N18" s="24"/>
      <c r="O18" s="24">
        <f t="shared" si="0"/>
        <v>337966.89999999997</v>
      </c>
      <c r="P18" s="21">
        <v>354498.41</v>
      </c>
      <c r="Q18">
        <f t="shared" si="1"/>
        <v>52.782849253926464</v>
      </c>
      <c r="R18">
        <v>51287.040000000001</v>
      </c>
    </row>
    <row r="19" spans="1:18" ht="48" thickBot="1">
      <c r="A19" s="22">
        <v>5</v>
      </c>
      <c r="B19" s="23" t="s">
        <v>28</v>
      </c>
      <c r="C19" s="23" t="s">
        <v>33</v>
      </c>
      <c r="D19" s="23"/>
      <c r="E19" s="23"/>
      <c r="F19" s="24">
        <v>2135.5</v>
      </c>
      <c r="G19" s="23">
        <v>5.3</v>
      </c>
      <c r="H19" s="23"/>
      <c r="I19" s="24">
        <v>19546.43</v>
      </c>
      <c r="J19" s="24">
        <f>'ТСЖ 4 кв.17'!J19+'ТСЖ 1 КВ. 2018'!R19-'ТСЖ 4 кв.17'!N19</f>
        <v>400673.67000000004</v>
      </c>
      <c r="K19" s="24">
        <f>'ТСЖ 4 кв.17'!O19+'ТСЖ 1 КВ. 2018'!I19</f>
        <v>275101.8</v>
      </c>
      <c r="L19" s="29"/>
      <c r="M19" s="20"/>
      <c r="N19" s="24"/>
      <c r="O19" s="24">
        <f t="shared" si="0"/>
        <v>275101.8</v>
      </c>
      <c r="P19" s="21">
        <v>309141.18</v>
      </c>
      <c r="Q19">
        <f t="shared" si="1"/>
        <v>68.659814856314355</v>
      </c>
      <c r="R19">
        <v>33954.449999999997</v>
      </c>
    </row>
    <row r="20" spans="1:18" ht="48" thickBot="1">
      <c r="A20" s="22">
        <v>6</v>
      </c>
      <c r="B20" s="23" t="s">
        <v>28</v>
      </c>
      <c r="C20" s="23" t="s">
        <v>34</v>
      </c>
      <c r="D20" s="23"/>
      <c r="E20" s="23"/>
      <c r="F20" s="24">
        <v>2828.3</v>
      </c>
      <c r="G20" s="23">
        <v>5.3</v>
      </c>
      <c r="H20" s="23"/>
      <c r="I20" s="24">
        <v>44858.9</v>
      </c>
      <c r="J20" s="24">
        <f>'ТСЖ 4 кв.17'!J20+'ТСЖ 1 КВ. 2018'!R20-'ТСЖ 4 кв.17'!N20</f>
        <v>644180.64000000013</v>
      </c>
      <c r="K20" s="24">
        <f>'ТСЖ 4 кв.17'!O20+'ТСЖ 1 КВ. 2018'!I20</f>
        <v>501070.43000000005</v>
      </c>
      <c r="L20" s="24"/>
      <c r="M20" s="24"/>
      <c r="N20" s="24"/>
      <c r="O20" s="24">
        <f t="shared" si="0"/>
        <v>501070.43000000005</v>
      </c>
      <c r="P20" s="21">
        <v>420551</v>
      </c>
      <c r="Q20">
        <f t="shared" si="1"/>
        <v>77.784149179025306</v>
      </c>
      <c r="R20">
        <v>44898.42</v>
      </c>
    </row>
    <row r="21" spans="1:18" ht="48" thickBot="1">
      <c r="A21" s="22">
        <v>7</v>
      </c>
      <c r="B21" s="23" t="s">
        <v>28</v>
      </c>
      <c r="C21" s="23" t="s">
        <v>35</v>
      </c>
      <c r="D21" s="23"/>
      <c r="E21" s="23"/>
      <c r="F21" s="24">
        <v>1189</v>
      </c>
      <c r="G21" s="23">
        <v>5.3</v>
      </c>
      <c r="H21" s="23"/>
      <c r="I21" s="24">
        <v>8862.39</v>
      </c>
      <c r="J21" s="24">
        <f>'ТСЖ 4 кв.17'!J21+'ТСЖ 1 КВ. 2018'!R21-'ТСЖ 4 кв.17'!N21</f>
        <v>271516.52999999997</v>
      </c>
      <c r="K21" s="24">
        <f>'ТСЖ 4 кв.17'!O21+'ТСЖ 1 КВ. 2018'!I21</f>
        <v>152607.03999999998</v>
      </c>
      <c r="L21" s="24"/>
      <c r="M21" s="24"/>
      <c r="N21" s="24"/>
      <c r="O21" s="24">
        <f t="shared" si="0"/>
        <v>152607.03999999998</v>
      </c>
      <c r="P21" s="21">
        <v>124839.69</v>
      </c>
      <c r="Q21">
        <f t="shared" si="1"/>
        <v>56.205432501660212</v>
      </c>
      <c r="R21">
        <v>18905.099999999999</v>
      </c>
    </row>
    <row r="22" spans="1:18" ht="48" thickBot="1">
      <c r="A22" s="22">
        <v>8</v>
      </c>
      <c r="B22" s="23" t="s">
        <v>28</v>
      </c>
      <c r="C22" s="23" t="s">
        <v>36</v>
      </c>
      <c r="D22" s="23"/>
      <c r="E22" s="23"/>
      <c r="F22" s="24">
        <v>2428.02</v>
      </c>
      <c r="G22" s="23">
        <v>5.3</v>
      </c>
      <c r="H22" s="23"/>
      <c r="I22" s="24">
        <v>16336.99</v>
      </c>
      <c r="J22" s="24">
        <f>'ТСЖ 4 кв.17'!J22+'ТСЖ 1 КВ. 2018'!R22-'ТСЖ 4 кв.17'!N22</f>
        <v>523543.94000000006</v>
      </c>
      <c r="K22" s="24">
        <f>'ТСЖ 4 кв.17'!O22+'ТСЖ 1 КВ. 2018'!I22</f>
        <v>425871.99</v>
      </c>
      <c r="L22" s="24"/>
      <c r="M22" s="24"/>
      <c r="N22" s="24"/>
      <c r="O22" s="24">
        <f t="shared" si="0"/>
        <v>425871.99</v>
      </c>
      <c r="P22" s="21">
        <v>388089.32</v>
      </c>
      <c r="Q22">
        <f t="shared" si="1"/>
        <v>81.344077824680767</v>
      </c>
      <c r="R22">
        <v>38605.53</v>
      </c>
    </row>
    <row r="23" spans="1:18" ht="48" thickBot="1">
      <c r="A23" s="22">
        <v>9</v>
      </c>
      <c r="B23" s="23" t="s">
        <v>37</v>
      </c>
      <c r="C23" s="23" t="s">
        <v>38</v>
      </c>
      <c r="D23" s="23"/>
      <c r="E23" s="23"/>
      <c r="F23" s="23" t="s">
        <v>39</v>
      </c>
      <c r="G23" s="23">
        <v>5.3</v>
      </c>
      <c r="H23" s="23"/>
      <c r="I23" s="24">
        <v>14507.05</v>
      </c>
      <c r="J23" s="24">
        <f>'ТСЖ 4 кв.17'!J23+'ТСЖ 1 КВ. 2018'!R23-'ТСЖ 4 кв.17'!N23</f>
        <v>258826.81</v>
      </c>
      <c r="K23" s="24">
        <f>'ТСЖ 4 кв.17'!O23+'ТСЖ 1 КВ. 2018'!I23</f>
        <v>201141.96999999997</v>
      </c>
      <c r="L23" s="24"/>
      <c r="M23" s="24"/>
      <c r="N23" s="24"/>
      <c r="O23" s="24">
        <f t="shared" si="0"/>
        <v>201141.96999999997</v>
      </c>
      <c r="P23" s="21">
        <v>146097.04999999999</v>
      </c>
      <c r="Q23">
        <f t="shared" si="1"/>
        <v>77.712957942803513</v>
      </c>
      <c r="R23">
        <v>18046.5</v>
      </c>
    </row>
    <row r="24" spans="1:18" ht="48" thickBot="1">
      <c r="A24" s="22">
        <v>10</v>
      </c>
      <c r="B24" s="23" t="s">
        <v>37</v>
      </c>
      <c r="C24" s="23" t="s">
        <v>40</v>
      </c>
      <c r="D24" s="23"/>
      <c r="E24" s="23"/>
      <c r="F24" s="23" t="s">
        <v>41</v>
      </c>
      <c r="G24" s="23">
        <v>5.3</v>
      </c>
      <c r="H24" s="23"/>
      <c r="I24" s="24">
        <v>24120.99</v>
      </c>
      <c r="J24" s="24">
        <f>'ТСЖ 4 кв.17'!J24+'ТСЖ 1 КВ. 2018'!R24-'ТСЖ 4 кв.17'!N24</f>
        <v>483337.97</v>
      </c>
      <c r="K24" s="24">
        <f>'ТСЖ 4 кв.17'!O24+'ТСЖ 1 КВ. 2018'!I24</f>
        <v>298979.14</v>
      </c>
      <c r="L24" s="24"/>
      <c r="M24" s="24"/>
      <c r="N24" s="24"/>
      <c r="O24" s="24">
        <f t="shared" si="0"/>
        <v>298979.14</v>
      </c>
      <c r="P24" s="21">
        <v>235115.53</v>
      </c>
      <c r="Q24">
        <f t="shared" si="1"/>
        <v>61.857159701316256</v>
      </c>
      <c r="R24">
        <v>33696.870000000003</v>
      </c>
    </row>
    <row r="25" spans="1:18" ht="48" thickBot="1">
      <c r="A25" s="22">
        <v>11</v>
      </c>
      <c r="B25" s="23" t="s">
        <v>28</v>
      </c>
      <c r="C25" s="23" t="s">
        <v>42</v>
      </c>
      <c r="D25" s="23"/>
      <c r="E25" s="23"/>
      <c r="F25" s="23" t="s">
        <v>43</v>
      </c>
      <c r="G25" s="23">
        <v>5.3</v>
      </c>
      <c r="H25" s="23"/>
      <c r="I25" s="24">
        <v>37173.699999999997</v>
      </c>
      <c r="J25" s="24">
        <f>'ТСЖ 4 кв.17'!J25+'ТСЖ 1 КВ. 2018'!R25-'ТСЖ 4 кв.17'!N25</f>
        <v>479023.46</v>
      </c>
      <c r="K25" s="24">
        <f>'ТСЖ 4 кв.17'!O25+'ТСЖ 1 КВ. 2018'!I25</f>
        <v>351213.8</v>
      </c>
      <c r="L25" s="24"/>
      <c r="M25" s="24"/>
      <c r="N25" s="24"/>
      <c r="O25" s="24">
        <f t="shared" si="0"/>
        <v>351213.8</v>
      </c>
      <c r="P25" s="21">
        <v>287247.24</v>
      </c>
      <c r="Q25">
        <f t="shared" si="1"/>
        <v>73.318705518097175</v>
      </c>
      <c r="R25">
        <v>33300.959999999999</v>
      </c>
    </row>
    <row r="26" spans="1:18" ht="48" thickBot="1">
      <c r="A26" s="22">
        <v>12</v>
      </c>
      <c r="B26" s="23" t="s">
        <v>28</v>
      </c>
      <c r="C26" s="23" t="s">
        <v>72</v>
      </c>
      <c r="D26" s="23"/>
      <c r="E26" s="23"/>
      <c r="F26" s="23" t="s">
        <v>44</v>
      </c>
      <c r="G26" s="23">
        <v>5.3</v>
      </c>
      <c r="H26" s="23"/>
      <c r="I26" s="24">
        <v>23632.09</v>
      </c>
      <c r="J26" s="24">
        <f>'ТСЖ 4 кв.17'!J26+'ТСЖ 1 КВ. 2018'!R26-'ТСЖ 4 кв.17'!N26</f>
        <v>446209.01</v>
      </c>
      <c r="K26" s="24">
        <f>'ТСЖ 4 кв.17'!O26+'ТСЖ 1 КВ. 2018'!I26</f>
        <v>307752.15000000002</v>
      </c>
      <c r="L26" s="24"/>
      <c r="M26" s="24"/>
      <c r="N26" s="24"/>
      <c r="O26" s="24">
        <f t="shared" si="0"/>
        <v>307752.15000000002</v>
      </c>
      <c r="P26" s="21">
        <v>253163.82</v>
      </c>
      <c r="Q26">
        <f t="shared" si="1"/>
        <v>68.970402457807836</v>
      </c>
      <c r="R26">
        <v>30962.07</v>
      </c>
    </row>
    <row r="27" spans="1:18" ht="48" thickBot="1">
      <c r="A27" s="22">
        <v>13</v>
      </c>
      <c r="B27" s="23" t="s">
        <v>28</v>
      </c>
      <c r="C27" s="23" t="s">
        <v>73</v>
      </c>
      <c r="D27" s="23"/>
      <c r="E27" s="23"/>
      <c r="F27" s="23" t="s">
        <v>45</v>
      </c>
      <c r="G27" s="23">
        <v>5.3</v>
      </c>
      <c r="H27" s="23"/>
      <c r="I27" s="24">
        <v>12723.76</v>
      </c>
      <c r="J27" s="24">
        <f>'ТСЖ 4 кв.17'!J27+'ТСЖ 1 КВ. 2018'!R27-'ТСЖ 4 кв.17'!N27</f>
        <v>388533.99999999994</v>
      </c>
      <c r="K27" s="24">
        <f>'ТСЖ 4 кв.17'!O27+'ТСЖ 1 КВ. 2018'!I27</f>
        <v>308836.95</v>
      </c>
      <c r="L27" s="24"/>
      <c r="M27" s="24"/>
      <c r="N27" s="24"/>
      <c r="O27" s="24">
        <f t="shared" si="0"/>
        <v>308836.95</v>
      </c>
      <c r="P27" s="21">
        <v>252978.03</v>
      </c>
      <c r="Q27">
        <f t="shared" si="1"/>
        <v>79.487753967477772</v>
      </c>
      <c r="R27">
        <v>27028.41</v>
      </c>
    </row>
    <row r="28" spans="1:18" ht="48" thickBot="1">
      <c r="A28" s="22">
        <v>14</v>
      </c>
      <c r="B28" s="23" t="s">
        <v>28</v>
      </c>
      <c r="C28" s="23" t="s">
        <v>74</v>
      </c>
      <c r="D28" s="23"/>
      <c r="E28" s="23"/>
      <c r="F28" s="24">
        <v>2087.9</v>
      </c>
      <c r="G28" s="23">
        <v>5.3</v>
      </c>
      <c r="H28" s="23"/>
      <c r="I28" s="24">
        <v>20905.939999999999</v>
      </c>
      <c r="J28" s="24">
        <f>'ТСЖ 4 кв.17'!J28+'ТСЖ 1 КВ. 2018'!R28-'ТСЖ 4 кв.17'!N28</f>
        <v>477248.06</v>
      </c>
      <c r="K28" s="24">
        <f>'ТСЖ 4 кв.17'!O28+'ТСЖ 1 КВ. 2018'!I28</f>
        <v>336971.19</v>
      </c>
      <c r="L28" s="24"/>
      <c r="M28" s="24"/>
      <c r="N28" s="24"/>
      <c r="O28" s="24">
        <f t="shared" si="0"/>
        <v>336971.19</v>
      </c>
      <c r="P28" s="21">
        <v>243907.98</v>
      </c>
      <c r="Q28">
        <f t="shared" si="1"/>
        <v>70.607136674374331</v>
      </c>
      <c r="R28">
        <v>33197.61</v>
      </c>
    </row>
    <row r="29" spans="1:18" ht="48" thickBot="1">
      <c r="A29" s="22">
        <v>15</v>
      </c>
      <c r="B29" s="23" t="s">
        <v>28</v>
      </c>
      <c r="C29" s="23" t="s">
        <v>75</v>
      </c>
      <c r="D29" s="23"/>
      <c r="E29" s="23"/>
      <c r="F29" s="23" t="s">
        <v>46</v>
      </c>
      <c r="G29" s="23">
        <v>5.3</v>
      </c>
      <c r="H29" s="23"/>
      <c r="I29" s="24">
        <v>45713.25</v>
      </c>
      <c r="J29" s="24">
        <f>'ТСЖ 4 кв.17'!J29+'ТСЖ 1 КВ. 2018'!R29-'ТСЖ 4 кв.17'!N29</f>
        <v>473588.39</v>
      </c>
      <c r="K29" s="24">
        <f>'ТСЖ 4 кв.17'!O29+'ТСЖ 1 КВ. 2018'!I29</f>
        <v>348893.37</v>
      </c>
      <c r="L29" s="24"/>
      <c r="M29" s="24"/>
      <c r="N29" s="24"/>
      <c r="O29" s="24">
        <f t="shared" si="0"/>
        <v>348893.37</v>
      </c>
      <c r="P29" s="21">
        <v>223464.31</v>
      </c>
      <c r="Q29">
        <f t="shared" si="1"/>
        <v>73.670169574891816</v>
      </c>
      <c r="R29">
        <v>33165.81</v>
      </c>
    </row>
    <row r="30" spans="1:18">
      <c r="A30" s="2"/>
      <c r="R30">
        <f>SUM(R15:R29)</f>
        <v>550366.11</v>
      </c>
    </row>
    <row r="31" spans="1:18" ht="15.75">
      <c r="A31" s="4" t="s">
        <v>76</v>
      </c>
      <c r="C31" s="17" t="s">
        <v>77</v>
      </c>
      <c r="D31" s="17"/>
      <c r="E31" s="17"/>
      <c r="F31" s="17"/>
      <c r="G31" s="17"/>
      <c r="H31" s="17"/>
      <c r="I31" s="26"/>
    </row>
    <row r="32" spans="1:18" ht="15.75">
      <c r="A32" s="2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>
      <c r="A33" s="2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>
      <c r="A34" s="2"/>
    </row>
    <row r="35" spans="1:15" s="27" customFormat="1" ht="15.75">
      <c r="A35" s="4" t="s">
        <v>82</v>
      </c>
      <c r="I35" s="28"/>
    </row>
    <row r="36" spans="1:15" s="27" customFormat="1" ht="15.75">
      <c r="A36" s="4"/>
      <c r="I36" s="28"/>
    </row>
    <row r="37" spans="1:15" s="27" customFormat="1" ht="15.75">
      <c r="A37" s="4"/>
      <c r="I37" s="28"/>
    </row>
    <row r="38" spans="1:15" s="27" customFormat="1" ht="15.75">
      <c r="A38" s="4" t="s">
        <v>47</v>
      </c>
      <c r="I38" s="28"/>
    </row>
    <row r="39" spans="1:15" s="27" customFormat="1" ht="15.75">
      <c r="A39" s="4" t="s">
        <v>48</v>
      </c>
      <c r="I39" s="28"/>
    </row>
    <row r="40" spans="1:15">
      <c r="A40" s="1"/>
    </row>
    <row r="41" spans="1:15">
      <c r="A41" s="1"/>
    </row>
    <row r="42" spans="1:15">
      <c r="A42" s="1"/>
    </row>
    <row r="43" spans="1:15">
      <c r="A43" s="1"/>
    </row>
    <row r="44" spans="1:15">
      <c r="A44" s="1"/>
    </row>
    <row r="45" spans="1:15">
      <c r="A45" s="1"/>
    </row>
    <row r="46" spans="1:15">
      <c r="A46" s="1"/>
    </row>
    <row r="47" spans="1:15">
      <c r="A47" s="1"/>
    </row>
    <row r="48" spans="1:1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</sheetData>
  <mergeCells count="25">
    <mergeCell ref="L12:L13"/>
    <mergeCell ref="M12:M13"/>
    <mergeCell ref="N12:N13"/>
    <mergeCell ref="C32:O32"/>
    <mergeCell ref="C33:O33"/>
    <mergeCell ref="F11:F13"/>
    <mergeCell ref="G11:G13"/>
    <mergeCell ref="H11:I11"/>
    <mergeCell ref="J11:K11"/>
    <mergeCell ref="L11:N11"/>
    <mergeCell ref="O11:O13"/>
    <mergeCell ref="H12:H13"/>
    <mergeCell ref="I12:I13"/>
    <mergeCell ref="J12:J13"/>
    <mergeCell ref="K12:K13"/>
    <mergeCell ref="A1:O1"/>
    <mergeCell ref="A2:O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70866141732283472" right="0.70866141732283472" top="0.74803149606299213" bottom="0.35433070866141736" header="0.31496062992125984" footer="0.31496062992125984"/>
  <pageSetup paperSize="9" scale="63" fitToHeight="2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4"/>
  <sheetViews>
    <sheetView workbookViewId="0">
      <selection activeCell="E16" sqref="E16"/>
    </sheetView>
  </sheetViews>
  <sheetFormatPr defaultRowHeight="15"/>
  <cols>
    <col min="3" max="3" width="15.42578125" customWidth="1"/>
    <col min="9" max="9" width="13.5703125" style="3" customWidth="1"/>
    <col min="10" max="10" width="12.7109375" customWidth="1"/>
    <col min="11" max="11" width="14.28515625" customWidth="1"/>
    <col min="12" max="12" width="10.7109375" customWidth="1"/>
    <col min="13" max="13" width="18.28515625" customWidth="1"/>
    <col min="14" max="14" width="14.42578125" customWidth="1"/>
    <col min="15" max="15" width="11.140625" customWidth="1"/>
    <col min="16" max="16" width="11.28515625" hidden="1" customWidth="1"/>
    <col min="17" max="17" width="9.140625" hidden="1" customWidth="1"/>
  </cols>
  <sheetData>
    <row r="1" spans="1:17" s="17" customFormat="1" ht="15.7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7" s="17" customFormat="1" ht="31.5" customHeight="1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7" s="13" customFormat="1" ht="15.75">
      <c r="A3" s="158" t="s">
        <v>67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7" s="13" customFormat="1" ht="15.75">
      <c r="A4" s="1" t="s">
        <v>4</v>
      </c>
      <c r="D4" s="18" t="s">
        <v>5</v>
      </c>
      <c r="E4" s="17"/>
      <c r="F4" s="17"/>
      <c r="G4" s="17"/>
      <c r="H4" s="17"/>
      <c r="I4" s="17"/>
      <c r="J4" s="17"/>
      <c r="K4" s="17"/>
    </row>
    <row r="5" spans="1:17" s="13" customFormat="1" ht="14.25" customHeight="1">
      <c r="D5" s="200" t="s">
        <v>6</v>
      </c>
      <c r="E5" s="200"/>
      <c r="F5" s="200"/>
      <c r="G5" s="200"/>
      <c r="H5" s="200"/>
      <c r="I5" s="200"/>
      <c r="J5" s="200"/>
      <c r="K5" s="200"/>
      <c r="L5" s="200"/>
      <c r="M5" s="200"/>
    </row>
    <row r="6" spans="1:17" s="13" customFormat="1" ht="15.75">
      <c r="A6" s="1" t="s">
        <v>7</v>
      </c>
      <c r="D6" s="18" t="s">
        <v>68</v>
      </c>
      <c r="E6" s="17"/>
      <c r="F6" s="17"/>
      <c r="G6" s="17"/>
      <c r="H6" s="17"/>
    </row>
    <row r="7" spans="1:17" s="13" customFormat="1">
      <c r="A7" s="1" t="s">
        <v>8</v>
      </c>
    </row>
    <row r="8" spans="1:17" s="13" customFormat="1" ht="9.75" customHeight="1">
      <c r="A8" s="5"/>
      <c r="B8" s="14"/>
      <c r="C8" s="14"/>
      <c r="D8" s="201" t="s">
        <v>9</v>
      </c>
      <c r="E8" s="201"/>
      <c r="F8" s="201"/>
      <c r="G8" s="201"/>
      <c r="H8" s="201"/>
      <c r="I8" s="201"/>
      <c r="J8" s="201"/>
      <c r="K8" s="201"/>
      <c r="L8" s="201"/>
    </row>
    <row r="9" spans="1:17" s="13" customFormat="1" ht="15.75">
      <c r="A9" s="18" t="s">
        <v>69</v>
      </c>
    </row>
    <row r="10" spans="1:17" s="13" customFormat="1" ht="15.75">
      <c r="A10" s="18" t="s">
        <v>70</v>
      </c>
    </row>
    <row r="11" spans="1:17" s="13" customFormat="1" ht="42" customHeight="1">
      <c r="A11" s="220" t="s">
        <v>10</v>
      </c>
      <c r="B11" s="224" t="s">
        <v>11</v>
      </c>
      <c r="C11" s="220" t="s">
        <v>12</v>
      </c>
      <c r="D11" s="220" t="s">
        <v>13</v>
      </c>
      <c r="E11" s="220" t="s">
        <v>14</v>
      </c>
      <c r="F11" s="220" t="s">
        <v>15</v>
      </c>
      <c r="G11" s="220" t="s">
        <v>16</v>
      </c>
      <c r="H11" s="223" t="s">
        <v>17</v>
      </c>
      <c r="I11" s="223"/>
      <c r="J11" s="223" t="s">
        <v>18</v>
      </c>
      <c r="K11" s="223"/>
      <c r="L11" s="223" t="s">
        <v>19</v>
      </c>
      <c r="M11" s="223"/>
      <c r="N11" s="223"/>
      <c r="O11" s="223" t="s">
        <v>20</v>
      </c>
    </row>
    <row r="12" spans="1:17" s="13" customFormat="1">
      <c r="A12" s="221"/>
      <c r="B12" s="225"/>
      <c r="C12" s="221"/>
      <c r="D12" s="221"/>
      <c r="E12" s="221"/>
      <c r="F12" s="221"/>
      <c r="G12" s="221"/>
      <c r="H12" s="223" t="s">
        <v>21</v>
      </c>
      <c r="I12" s="223" t="s">
        <v>22</v>
      </c>
      <c r="J12" s="223" t="s">
        <v>23</v>
      </c>
      <c r="K12" s="223" t="s">
        <v>24</v>
      </c>
      <c r="L12" s="223" t="s">
        <v>25</v>
      </c>
      <c r="M12" s="223" t="s">
        <v>26</v>
      </c>
      <c r="N12" s="223" t="s">
        <v>27</v>
      </c>
      <c r="O12" s="223"/>
    </row>
    <row r="13" spans="1:17" s="13" customFormat="1" ht="99" customHeight="1">
      <c r="A13" s="222"/>
      <c r="B13" s="226"/>
      <c r="C13" s="222"/>
      <c r="D13" s="222"/>
      <c r="E13" s="222"/>
      <c r="F13" s="222"/>
      <c r="G13" s="222"/>
      <c r="H13" s="223"/>
      <c r="I13" s="223"/>
      <c r="J13" s="223"/>
      <c r="K13" s="223"/>
      <c r="L13" s="223"/>
      <c r="M13" s="223"/>
      <c r="N13" s="223"/>
      <c r="O13" s="223"/>
    </row>
    <row r="14" spans="1:17" s="13" customFormat="1">
      <c r="A14" s="7">
        <v>1</v>
      </c>
      <c r="B14" s="6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  <c r="O14" s="8">
        <v>14</v>
      </c>
    </row>
    <row r="15" spans="1:17" ht="48" thickBot="1">
      <c r="A15" s="22">
        <v>1</v>
      </c>
      <c r="B15" s="23" t="s">
        <v>28</v>
      </c>
      <c r="C15" s="23" t="s">
        <v>29</v>
      </c>
      <c r="D15" s="23"/>
      <c r="E15" s="23"/>
      <c r="F15" s="25">
        <v>4750.3</v>
      </c>
      <c r="G15" s="23">
        <v>5.3</v>
      </c>
      <c r="H15" s="23"/>
      <c r="I15" s="24">
        <v>58034.74</v>
      </c>
      <c r="J15" s="24">
        <f>75529.77+933294.08</f>
        <v>1008823.85</v>
      </c>
      <c r="K15" s="24">
        <f>P15+I15</f>
        <v>578851.82000000007</v>
      </c>
      <c r="L15" s="24"/>
      <c r="M15" s="24"/>
      <c r="N15" s="24"/>
      <c r="O15" s="24">
        <f>K15</f>
        <v>578851.82000000007</v>
      </c>
      <c r="P15" s="21">
        <v>520817.08</v>
      </c>
      <c r="Q15">
        <f>K15/J15*100</f>
        <v>57.378879375224933</v>
      </c>
    </row>
    <row r="16" spans="1:17" ht="48" thickBot="1">
      <c r="A16" s="22">
        <v>2</v>
      </c>
      <c r="B16" s="23" t="s">
        <v>28</v>
      </c>
      <c r="C16" s="23" t="s">
        <v>30</v>
      </c>
      <c r="D16" s="23"/>
      <c r="E16" s="23"/>
      <c r="F16" s="25">
        <v>1908.8</v>
      </c>
      <c r="G16" s="23">
        <v>5.3</v>
      </c>
      <c r="H16" s="23"/>
      <c r="I16" s="24">
        <v>62096.73</v>
      </c>
      <c r="J16" s="24">
        <f>30349.92+374532.44</f>
        <v>404882.36</v>
      </c>
      <c r="K16" s="24">
        <f t="shared" ref="K16:K29" si="0">P16+I16</f>
        <v>326161.55</v>
      </c>
      <c r="L16" s="24"/>
      <c r="M16" s="24"/>
      <c r="N16" s="24"/>
      <c r="O16" s="24">
        <f>K16</f>
        <v>326161.55</v>
      </c>
      <c r="P16" s="21">
        <v>264064.82</v>
      </c>
      <c r="Q16">
        <f t="shared" ref="Q16:Q29" si="1">K16/J16*100</f>
        <v>80.55711540507717</v>
      </c>
    </row>
    <row r="17" spans="1:17" ht="48" thickBot="1">
      <c r="A17" s="22">
        <v>3</v>
      </c>
      <c r="B17" s="23" t="s">
        <v>28</v>
      </c>
      <c r="C17" s="23" t="s">
        <v>71</v>
      </c>
      <c r="D17" s="23"/>
      <c r="E17" s="23"/>
      <c r="F17" s="25">
        <v>1908.8</v>
      </c>
      <c r="G17" s="23">
        <v>5.3</v>
      </c>
      <c r="H17" s="23"/>
      <c r="I17" s="24">
        <v>20500.54</v>
      </c>
      <c r="J17" s="24">
        <f>47437.65+585634.1</f>
        <v>633071.75</v>
      </c>
      <c r="K17" s="24">
        <f t="shared" si="0"/>
        <v>398543.25</v>
      </c>
      <c r="L17" s="24"/>
      <c r="M17" s="24"/>
      <c r="N17" s="24"/>
      <c r="O17" s="24">
        <f>K17</f>
        <v>398543.25</v>
      </c>
      <c r="P17" s="21">
        <v>378042.71</v>
      </c>
      <c r="Q17">
        <f t="shared" si="1"/>
        <v>62.953883189385721</v>
      </c>
    </row>
    <row r="18" spans="1:17" ht="77.25" thickBot="1">
      <c r="A18" s="22">
        <v>4</v>
      </c>
      <c r="B18" s="23" t="s">
        <v>28</v>
      </c>
      <c r="C18" s="23" t="s">
        <v>31</v>
      </c>
      <c r="D18" s="23"/>
      <c r="E18" s="23"/>
      <c r="F18" s="23" t="s">
        <v>32</v>
      </c>
      <c r="G18" s="23">
        <v>5.3</v>
      </c>
      <c r="H18" s="23"/>
      <c r="I18" s="24">
        <v>53285.88</v>
      </c>
      <c r="J18" s="24">
        <f>51287.04+633070.73</f>
        <v>684357.77</v>
      </c>
      <c r="K18" s="24">
        <f t="shared" si="0"/>
        <v>407784.29</v>
      </c>
      <c r="L18" s="29">
        <v>43009</v>
      </c>
      <c r="M18" s="20" t="s">
        <v>49</v>
      </c>
      <c r="N18" s="24">
        <v>95348</v>
      </c>
      <c r="O18" s="24">
        <f>P18+I18-N18</f>
        <v>312436.28999999998</v>
      </c>
      <c r="P18" s="21">
        <v>354498.41</v>
      </c>
      <c r="Q18">
        <f t="shared" si="1"/>
        <v>59.586419249685733</v>
      </c>
    </row>
    <row r="19" spans="1:17" ht="77.25" thickBot="1">
      <c r="A19" s="22">
        <v>5</v>
      </c>
      <c r="B19" s="23" t="s">
        <v>28</v>
      </c>
      <c r="C19" s="23" t="s">
        <v>33</v>
      </c>
      <c r="D19" s="23"/>
      <c r="E19" s="23"/>
      <c r="F19" s="24">
        <v>2135.5</v>
      </c>
      <c r="G19" s="23">
        <v>5.3</v>
      </c>
      <c r="H19" s="23"/>
      <c r="I19" s="24">
        <v>33129.19</v>
      </c>
      <c r="J19" s="24">
        <f>33954.45+419479.77</f>
        <v>453434.22000000003</v>
      </c>
      <c r="K19" s="24">
        <f t="shared" si="0"/>
        <v>342270.37</v>
      </c>
      <c r="L19" s="29">
        <v>42979</v>
      </c>
      <c r="M19" s="20" t="s">
        <v>49</v>
      </c>
      <c r="N19" s="24">
        <v>86715</v>
      </c>
      <c r="O19" s="24">
        <f>P19+I19-N19</f>
        <v>255555.37</v>
      </c>
      <c r="P19" s="21">
        <v>309141.18</v>
      </c>
      <c r="Q19">
        <f t="shared" si="1"/>
        <v>75.484018387496192</v>
      </c>
    </row>
    <row r="20" spans="1:17" ht="48" thickBot="1">
      <c r="A20" s="22">
        <v>6</v>
      </c>
      <c r="B20" s="23" t="s">
        <v>28</v>
      </c>
      <c r="C20" s="23" t="s">
        <v>34</v>
      </c>
      <c r="D20" s="23"/>
      <c r="E20" s="23"/>
      <c r="F20" s="24">
        <v>2828.3</v>
      </c>
      <c r="G20" s="23">
        <v>5.3</v>
      </c>
      <c r="H20" s="23"/>
      <c r="I20" s="24">
        <v>35660.53</v>
      </c>
      <c r="J20" s="24">
        <f>44898.42+554383.8</f>
        <v>599282.22000000009</v>
      </c>
      <c r="K20" s="24">
        <f t="shared" si="0"/>
        <v>456211.53</v>
      </c>
      <c r="L20" s="24"/>
      <c r="M20" s="24"/>
      <c r="N20" s="24"/>
      <c r="O20" s="24">
        <f>K20</f>
        <v>456211.53</v>
      </c>
      <c r="P20" s="21">
        <v>420551</v>
      </c>
      <c r="Q20">
        <f t="shared" si="1"/>
        <v>76.126324922504779</v>
      </c>
    </row>
    <row r="21" spans="1:17" ht="48" thickBot="1">
      <c r="A21" s="22">
        <v>7</v>
      </c>
      <c r="B21" s="23" t="s">
        <v>28</v>
      </c>
      <c r="C21" s="23" t="s">
        <v>35</v>
      </c>
      <c r="D21" s="23"/>
      <c r="E21" s="23"/>
      <c r="F21" s="24">
        <v>1189</v>
      </c>
      <c r="G21" s="23">
        <v>5.3</v>
      </c>
      <c r="H21" s="23"/>
      <c r="I21" s="24">
        <v>18904.96</v>
      </c>
      <c r="J21" s="24">
        <f>18905.1+233706.33</f>
        <v>252611.43</v>
      </c>
      <c r="K21" s="24">
        <f>P21+I21</f>
        <v>143744.65</v>
      </c>
      <c r="L21" s="24"/>
      <c r="M21" s="24"/>
      <c r="N21" s="24"/>
      <c r="O21" s="24">
        <f t="shared" ref="O21:O29" si="2">K21</f>
        <v>143744.65</v>
      </c>
      <c r="P21" s="21">
        <v>124839.69</v>
      </c>
      <c r="Q21">
        <f t="shared" si="1"/>
        <v>56.903462365103586</v>
      </c>
    </row>
    <row r="22" spans="1:17" ht="48" thickBot="1">
      <c r="A22" s="22">
        <v>8</v>
      </c>
      <c r="B22" s="23" t="s">
        <v>28</v>
      </c>
      <c r="C22" s="23" t="s">
        <v>36</v>
      </c>
      <c r="D22" s="23"/>
      <c r="E22" s="23"/>
      <c r="F22" s="24">
        <v>2428.02</v>
      </c>
      <c r="G22" s="23">
        <v>5.3</v>
      </c>
      <c r="H22" s="23"/>
      <c r="I22" s="24">
        <v>21445.68</v>
      </c>
      <c r="J22" s="24">
        <f>38605.53+446332.88</f>
        <v>484938.41000000003</v>
      </c>
      <c r="K22" s="24">
        <f t="shared" si="0"/>
        <v>409535</v>
      </c>
      <c r="L22" s="24"/>
      <c r="M22" s="24"/>
      <c r="N22" s="24"/>
      <c r="O22" s="24">
        <f t="shared" si="2"/>
        <v>409535</v>
      </c>
      <c r="P22" s="21">
        <v>388089.32</v>
      </c>
      <c r="Q22">
        <f t="shared" si="1"/>
        <v>84.450930583122911</v>
      </c>
    </row>
    <row r="23" spans="1:17" ht="48" thickBot="1">
      <c r="A23" s="22">
        <v>9</v>
      </c>
      <c r="B23" s="23" t="s">
        <v>37</v>
      </c>
      <c r="C23" s="23" t="s">
        <v>38</v>
      </c>
      <c r="D23" s="23"/>
      <c r="E23" s="23"/>
      <c r="F23" s="23" t="s">
        <v>39</v>
      </c>
      <c r="G23" s="23">
        <v>5.3</v>
      </c>
      <c r="H23" s="23"/>
      <c r="I23" s="24">
        <v>40537.870000000003</v>
      </c>
      <c r="J23" s="24">
        <f>18046.5+222733.81</f>
        <v>240780.31</v>
      </c>
      <c r="K23" s="24">
        <f t="shared" si="0"/>
        <v>186634.91999999998</v>
      </c>
      <c r="L23" s="24"/>
      <c r="M23" s="24"/>
      <c r="N23" s="24"/>
      <c r="O23" s="24">
        <f t="shared" si="2"/>
        <v>186634.91999999998</v>
      </c>
      <c r="P23" s="21">
        <v>146097.04999999999</v>
      </c>
      <c r="Q23">
        <f t="shared" si="1"/>
        <v>77.512534143676447</v>
      </c>
    </row>
    <row r="24" spans="1:17" ht="48" thickBot="1">
      <c r="A24" s="22">
        <v>10</v>
      </c>
      <c r="B24" s="23" t="s">
        <v>37</v>
      </c>
      <c r="C24" s="23" t="s">
        <v>40</v>
      </c>
      <c r="D24" s="23"/>
      <c r="E24" s="23"/>
      <c r="F24" s="23" t="s">
        <v>41</v>
      </c>
      <c r="G24" s="23">
        <v>5.3</v>
      </c>
      <c r="H24" s="23"/>
      <c r="I24" s="24">
        <v>39742.620000000003</v>
      </c>
      <c r="J24" s="24">
        <f>33696.87+415944.23</f>
        <v>449641.1</v>
      </c>
      <c r="K24" s="24">
        <f t="shared" si="0"/>
        <v>274858.15000000002</v>
      </c>
      <c r="L24" s="24"/>
      <c r="M24" s="24"/>
      <c r="N24" s="24"/>
      <c r="O24" s="24">
        <f t="shared" si="2"/>
        <v>274858.15000000002</v>
      </c>
      <c r="P24" s="21">
        <v>235115.53</v>
      </c>
      <c r="Q24">
        <f t="shared" si="1"/>
        <v>61.128342137762772</v>
      </c>
    </row>
    <row r="25" spans="1:17" ht="48" thickBot="1">
      <c r="A25" s="22">
        <v>11</v>
      </c>
      <c r="B25" s="23" t="s">
        <v>28</v>
      </c>
      <c r="C25" s="23" t="s">
        <v>42</v>
      </c>
      <c r="D25" s="23"/>
      <c r="E25" s="23"/>
      <c r="F25" s="23" t="s">
        <v>43</v>
      </c>
      <c r="G25" s="23">
        <v>5.3</v>
      </c>
      <c r="H25" s="23"/>
      <c r="I25" s="24">
        <v>26792.86</v>
      </c>
      <c r="J25" s="24">
        <f>33300.96+412421.54</f>
        <v>445722.5</v>
      </c>
      <c r="K25" s="24">
        <f t="shared" si="0"/>
        <v>314040.09999999998</v>
      </c>
      <c r="L25" s="24"/>
      <c r="M25" s="24"/>
      <c r="N25" s="24"/>
      <c r="O25" s="24">
        <f t="shared" si="2"/>
        <v>314040.09999999998</v>
      </c>
      <c r="P25" s="21">
        <v>287247.24</v>
      </c>
      <c r="Q25">
        <f t="shared" si="1"/>
        <v>70.456416267969416</v>
      </c>
    </row>
    <row r="26" spans="1:17" ht="48" thickBot="1">
      <c r="A26" s="22">
        <v>12</v>
      </c>
      <c r="B26" s="23" t="s">
        <v>28</v>
      </c>
      <c r="C26" s="23" t="s">
        <v>72</v>
      </c>
      <c r="D26" s="23"/>
      <c r="E26" s="23"/>
      <c r="F26" s="23" t="s">
        <v>44</v>
      </c>
      <c r="G26" s="23">
        <v>5.3</v>
      </c>
      <c r="H26" s="23"/>
      <c r="I26" s="24">
        <v>30956.240000000002</v>
      </c>
      <c r="J26" s="24">
        <f>30962.07+384284.87</f>
        <v>415246.94</v>
      </c>
      <c r="K26" s="24">
        <f t="shared" si="0"/>
        <v>284120.06</v>
      </c>
      <c r="L26" s="24"/>
      <c r="M26" s="24"/>
      <c r="N26" s="24"/>
      <c r="O26" s="24">
        <f t="shared" si="2"/>
        <v>284120.06</v>
      </c>
      <c r="P26" s="21">
        <v>253163.82</v>
      </c>
      <c r="Q26">
        <f t="shared" si="1"/>
        <v>68.421951526000399</v>
      </c>
    </row>
    <row r="27" spans="1:17" ht="48" thickBot="1">
      <c r="A27" s="22">
        <v>13</v>
      </c>
      <c r="B27" s="23" t="s">
        <v>28</v>
      </c>
      <c r="C27" s="23" t="s">
        <v>73</v>
      </c>
      <c r="D27" s="23"/>
      <c r="E27" s="23"/>
      <c r="F27" s="23" t="s">
        <v>45</v>
      </c>
      <c r="G27" s="23">
        <v>5.3</v>
      </c>
      <c r="H27" s="23"/>
      <c r="I27" s="24">
        <v>43135.16</v>
      </c>
      <c r="J27" s="24">
        <f>27028.41+334477.18</f>
        <v>361505.58999999997</v>
      </c>
      <c r="K27" s="24">
        <f t="shared" si="0"/>
        <v>296113.19</v>
      </c>
      <c r="L27" s="24"/>
      <c r="M27" s="24"/>
      <c r="N27" s="24"/>
      <c r="O27" s="24">
        <f t="shared" si="2"/>
        <v>296113.19</v>
      </c>
      <c r="P27" s="21">
        <v>252978.03</v>
      </c>
      <c r="Q27">
        <f t="shared" si="1"/>
        <v>81.911095759266146</v>
      </c>
    </row>
    <row r="28" spans="1:17" ht="48" thickBot="1">
      <c r="A28" s="22">
        <v>14</v>
      </c>
      <c r="B28" s="23" t="s">
        <v>28</v>
      </c>
      <c r="C28" s="23" t="s">
        <v>74</v>
      </c>
      <c r="D28" s="23"/>
      <c r="E28" s="23"/>
      <c r="F28" s="24">
        <v>2087.9</v>
      </c>
      <c r="G28" s="23">
        <v>5.3</v>
      </c>
      <c r="H28" s="23"/>
      <c r="I28" s="24">
        <v>72157.27</v>
      </c>
      <c r="J28" s="24">
        <f>33197.61+410852.84</f>
        <v>444050.45</v>
      </c>
      <c r="K28" s="24">
        <f t="shared" si="0"/>
        <v>316065.25</v>
      </c>
      <c r="L28" s="24"/>
      <c r="M28" s="24"/>
      <c r="N28" s="24"/>
      <c r="O28" s="24">
        <f t="shared" si="2"/>
        <v>316065.25</v>
      </c>
      <c r="P28" s="21">
        <v>243907.98</v>
      </c>
      <c r="Q28">
        <f t="shared" si="1"/>
        <v>71.177779461770612</v>
      </c>
    </row>
    <row r="29" spans="1:17" ht="48" thickBot="1">
      <c r="A29" s="22">
        <v>15</v>
      </c>
      <c r="B29" s="23" t="s">
        <v>28</v>
      </c>
      <c r="C29" s="23" t="s">
        <v>75</v>
      </c>
      <c r="D29" s="23"/>
      <c r="E29" s="23"/>
      <c r="F29" s="23" t="s">
        <v>46</v>
      </c>
      <c r="G29" s="23">
        <v>5.3</v>
      </c>
      <c r="H29" s="23"/>
      <c r="I29" s="24">
        <v>79715.81</v>
      </c>
      <c r="J29" s="24">
        <f>33165.81+407256.77</f>
        <v>440422.58</v>
      </c>
      <c r="K29" s="24">
        <f t="shared" si="0"/>
        <v>303180.12</v>
      </c>
      <c r="L29" s="24"/>
      <c r="M29" s="24"/>
      <c r="N29" s="24"/>
      <c r="O29" s="24">
        <f t="shared" si="2"/>
        <v>303180.12</v>
      </c>
      <c r="P29" s="21">
        <v>223464.31</v>
      </c>
      <c r="Q29">
        <f t="shared" si="1"/>
        <v>68.838459644825662</v>
      </c>
    </row>
    <row r="30" spans="1:17">
      <c r="A30" s="2"/>
    </row>
    <row r="31" spans="1:17" ht="15.75">
      <c r="A31" s="4" t="s">
        <v>76</v>
      </c>
      <c r="C31" s="17" t="s">
        <v>77</v>
      </c>
      <c r="D31" s="17"/>
      <c r="E31" s="17"/>
      <c r="F31" s="17"/>
      <c r="G31" s="17"/>
      <c r="H31" s="17"/>
      <c r="I31" s="26"/>
    </row>
    <row r="32" spans="1:17" ht="15.75">
      <c r="A32" s="2"/>
      <c r="C32" s="203" t="s">
        <v>78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.75">
      <c r="A33" s="2"/>
      <c r="C33" s="203" t="s">
        <v>79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>
      <c r="A34" s="2"/>
    </row>
    <row r="35" spans="1:15" s="27" customFormat="1" ht="15.75">
      <c r="A35" s="4" t="s">
        <v>80</v>
      </c>
      <c r="I35" s="28"/>
    </row>
    <row r="36" spans="1:15" s="27" customFormat="1" ht="15.75">
      <c r="A36" s="4"/>
      <c r="I36" s="28"/>
    </row>
    <row r="37" spans="1:15" s="27" customFormat="1" ht="15.75">
      <c r="A37" s="4"/>
      <c r="I37" s="28"/>
    </row>
    <row r="38" spans="1:15" s="27" customFormat="1" ht="15.75">
      <c r="A38" s="4" t="s">
        <v>47</v>
      </c>
      <c r="I38" s="28"/>
    </row>
    <row r="39" spans="1:15" s="27" customFormat="1" ht="15.75">
      <c r="A39" s="4" t="s">
        <v>48</v>
      </c>
      <c r="I39" s="28"/>
    </row>
    <row r="40" spans="1:15">
      <c r="A40" s="1"/>
    </row>
    <row r="41" spans="1:15">
      <c r="A41" s="1"/>
    </row>
    <row r="42" spans="1:15">
      <c r="A42" s="1"/>
    </row>
    <row r="43" spans="1:15">
      <c r="A43" s="1"/>
    </row>
    <row r="44" spans="1:15">
      <c r="A44" s="1"/>
    </row>
    <row r="45" spans="1:15">
      <c r="A45" s="1"/>
    </row>
    <row r="46" spans="1:15">
      <c r="A46" s="1"/>
    </row>
    <row r="47" spans="1:15">
      <c r="A47" s="1"/>
    </row>
    <row r="48" spans="1:1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</sheetData>
  <mergeCells count="25">
    <mergeCell ref="H11:I11"/>
    <mergeCell ref="J11:K11"/>
    <mergeCell ref="L11:N11"/>
    <mergeCell ref="O11:O13"/>
    <mergeCell ref="H12:H13"/>
    <mergeCell ref="I12:I13"/>
    <mergeCell ref="J12:J13"/>
    <mergeCell ref="K12:K13"/>
    <mergeCell ref="L12:L13"/>
    <mergeCell ref="C32:O32"/>
    <mergeCell ref="C33:O33"/>
    <mergeCell ref="M12:M13"/>
    <mergeCell ref="A1:O1"/>
    <mergeCell ref="A2:O2"/>
    <mergeCell ref="A3:O3"/>
    <mergeCell ref="D5:M5"/>
    <mergeCell ref="D8:L8"/>
    <mergeCell ref="A11:A13"/>
    <mergeCell ref="B11:B13"/>
    <mergeCell ref="C11:C13"/>
    <mergeCell ref="D11:D13"/>
    <mergeCell ref="E11:E13"/>
    <mergeCell ref="F11:F13"/>
    <mergeCell ref="G11:G13"/>
    <mergeCell ref="N12:N13"/>
  </mergeCells>
  <pageMargins left="0.70866141732283472" right="0.70866141732283472" top="0.74803149606299213" bottom="0.35433070866141736" header="0.31496062992125984" footer="0.31496062992125984"/>
  <pageSetup paperSize="9" scale="74" fitToHeight="2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topLeftCell="A13" workbookViewId="0">
      <selection activeCell="W28" sqref="W28"/>
    </sheetView>
  </sheetViews>
  <sheetFormatPr defaultColWidth="9.140625" defaultRowHeight="15"/>
  <cols>
    <col min="1" max="2" width="9.140625" style="13"/>
    <col min="3" max="3" width="15.42578125" style="13" customWidth="1"/>
    <col min="4" max="6" width="9.140625" style="13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9.140625" style="13"/>
    <col min="13" max="13" width="17" style="13" customWidth="1"/>
    <col min="14" max="14" width="10.42578125" style="13" customWidth="1"/>
    <col min="15" max="15" width="13.42578125" style="13" customWidth="1"/>
    <col min="16" max="16" width="9.140625" style="13"/>
    <col min="17" max="17" width="14" style="13" customWidth="1"/>
    <col min="18" max="16384" width="9.140625" style="13"/>
  </cols>
  <sheetData>
    <row r="1" spans="1:1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s="17" customFormat="1" ht="15.7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s="17" customFormat="1" ht="31.5" customHeight="1">
      <c r="A5" s="159" t="s">
        <v>66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ht="15.75">
      <c r="A6" s="158" t="s">
        <v>67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1:15" ht="15.75">
      <c r="A7" s="1" t="s">
        <v>4</v>
      </c>
      <c r="D7" s="18" t="s">
        <v>50</v>
      </c>
      <c r="E7" s="17"/>
      <c r="F7" s="17"/>
      <c r="G7" s="17"/>
      <c r="H7" s="17"/>
      <c r="I7" s="17"/>
      <c r="J7" s="17"/>
      <c r="K7" s="17"/>
    </row>
    <row r="8" spans="1:15" ht="14.25" customHeight="1">
      <c r="D8" s="200" t="s">
        <v>6</v>
      </c>
      <c r="E8" s="200"/>
      <c r="F8" s="200"/>
      <c r="G8" s="200"/>
      <c r="H8" s="200"/>
      <c r="I8" s="200"/>
      <c r="J8" s="200"/>
      <c r="K8" s="200"/>
      <c r="L8" s="200"/>
      <c r="M8" s="200"/>
    </row>
    <row r="9" spans="1:15" ht="15.75">
      <c r="A9" s="1" t="s">
        <v>7</v>
      </c>
      <c r="D9" s="18" t="s">
        <v>51</v>
      </c>
      <c r="E9" s="17"/>
      <c r="F9" s="17"/>
      <c r="G9" s="17"/>
      <c r="H9" s="17"/>
    </row>
    <row r="10" spans="1:15">
      <c r="A10" s="1" t="s">
        <v>8</v>
      </c>
    </row>
    <row r="11" spans="1:15" ht="9.75" customHeight="1">
      <c r="A11" s="5"/>
      <c r="B11" s="14"/>
      <c r="C11" s="14"/>
      <c r="D11" s="201" t="s">
        <v>9</v>
      </c>
      <c r="E11" s="201"/>
      <c r="F11" s="201"/>
      <c r="G11" s="201"/>
      <c r="H11" s="201"/>
      <c r="I11" s="201"/>
      <c r="J11" s="201"/>
      <c r="K11" s="201"/>
      <c r="L11" s="201"/>
    </row>
    <row r="12" spans="1:15" ht="15.75">
      <c r="A12" s="18" t="s">
        <v>61</v>
      </c>
    </row>
    <row r="13" spans="1:15" ht="15.75">
      <c r="A13" s="18" t="s">
        <v>62</v>
      </c>
    </row>
    <row r="14" spans="1:15" ht="42" customHeight="1">
      <c r="A14" s="220" t="s">
        <v>10</v>
      </c>
      <c r="B14" s="224" t="s">
        <v>11</v>
      </c>
      <c r="C14" s="220" t="s">
        <v>12</v>
      </c>
      <c r="D14" s="220" t="s">
        <v>13</v>
      </c>
      <c r="E14" s="220" t="s">
        <v>14</v>
      </c>
      <c r="F14" s="220" t="s">
        <v>15</v>
      </c>
      <c r="G14" s="220" t="s">
        <v>16</v>
      </c>
      <c r="H14" s="223" t="s">
        <v>17</v>
      </c>
      <c r="I14" s="223"/>
      <c r="J14" s="223" t="s">
        <v>18</v>
      </c>
      <c r="K14" s="223"/>
      <c r="L14" s="223" t="s">
        <v>19</v>
      </c>
      <c r="M14" s="223"/>
      <c r="N14" s="223"/>
      <c r="O14" s="223" t="s">
        <v>20</v>
      </c>
    </row>
    <row r="15" spans="1:15">
      <c r="A15" s="221"/>
      <c r="B15" s="225"/>
      <c r="C15" s="221"/>
      <c r="D15" s="221"/>
      <c r="E15" s="221"/>
      <c r="F15" s="221"/>
      <c r="G15" s="221"/>
      <c r="H15" s="223" t="s">
        <v>21</v>
      </c>
      <c r="I15" s="223" t="s">
        <v>22</v>
      </c>
      <c r="J15" s="223" t="s">
        <v>23</v>
      </c>
      <c r="K15" s="223" t="s">
        <v>24</v>
      </c>
      <c r="L15" s="223" t="s">
        <v>25</v>
      </c>
      <c r="M15" s="223" t="s">
        <v>26</v>
      </c>
      <c r="N15" s="223" t="s">
        <v>27</v>
      </c>
      <c r="O15" s="223"/>
    </row>
    <row r="16" spans="1:15" ht="99" customHeight="1">
      <c r="A16" s="222"/>
      <c r="B16" s="226"/>
      <c r="C16" s="222"/>
      <c r="D16" s="222"/>
      <c r="E16" s="222"/>
      <c r="F16" s="222"/>
      <c r="G16" s="222"/>
      <c r="H16" s="223"/>
      <c r="I16" s="223"/>
      <c r="J16" s="223"/>
      <c r="K16" s="223"/>
      <c r="L16" s="223"/>
      <c r="M16" s="223"/>
      <c r="N16" s="223"/>
      <c r="O16" s="223"/>
    </row>
    <row r="17" spans="1:17">
      <c r="A17" s="7">
        <v>1</v>
      </c>
      <c r="B17" s="6">
        <v>1</v>
      </c>
      <c r="C17" s="7">
        <v>2</v>
      </c>
      <c r="D17" s="7">
        <v>3</v>
      </c>
      <c r="E17" s="7">
        <v>4</v>
      </c>
      <c r="F17" s="7">
        <v>5</v>
      </c>
      <c r="G17" s="7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8">
        <v>14</v>
      </c>
    </row>
    <row r="18" spans="1:17" s="15" customFormat="1" ht="24">
      <c r="A18" s="227">
        <v>1</v>
      </c>
      <c r="B18" s="227" t="s">
        <v>28</v>
      </c>
      <c r="C18" s="227" t="s">
        <v>52</v>
      </c>
      <c r="D18" s="227"/>
      <c r="E18" s="227"/>
      <c r="F18" s="227" t="s">
        <v>53</v>
      </c>
      <c r="G18" s="227">
        <v>5.3</v>
      </c>
      <c r="H18" s="227"/>
      <c r="I18" s="228">
        <v>150498.46</v>
      </c>
      <c r="J18" s="228">
        <f>1836817.51+147994.05</f>
        <v>1984811.56</v>
      </c>
      <c r="K18" s="228">
        <f>1710835+I18</f>
        <v>1861333.46</v>
      </c>
      <c r="L18" s="10">
        <v>42552</v>
      </c>
      <c r="M18" s="11" t="s">
        <v>54</v>
      </c>
      <c r="N18" s="20">
        <v>503469.86</v>
      </c>
      <c r="O18" s="228">
        <v>1268462.6000000001</v>
      </c>
    </row>
    <row r="19" spans="1:17" s="15" customFormat="1" ht="24">
      <c r="A19" s="227"/>
      <c r="B19" s="227"/>
      <c r="C19" s="227"/>
      <c r="D19" s="227"/>
      <c r="E19" s="227"/>
      <c r="F19" s="227"/>
      <c r="G19" s="227"/>
      <c r="H19" s="227"/>
      <c r="I19" s="228"/>
      <c r="J19" s="228"/>
      <c r="K19" s="228"/>
      <c r="L19" s="10">
        <v>42948</v>
      </c>
      <c r="M19" s="11" t="s">
        <v>55</v>
      </c>
      <c r="N19" s="20">
        <v>11341</v>
      </c>
      <c r="O19" s="228"/>
      <c r="Q19" s="15">
        <f>K18/J18*100</f>
        <v>93.778850219917103</v>
      </c>
    </row>
    <row r="20" spans="1:17" s="15" customFormat="1" ht="24">
      <c r="A20" s="227"/>
      <c r="B20" s="227"/>
      <c r="C20" s="227"/>
      <c r="D20" s="227"/>
      <c r="E20" s="227"/>
      <c r="F20" s="227"/>
      <c r="G20" s="227"/>
      <c r="H20" s="227"/>
      <c r="I20" s="228"/>
      <c r="J20" s="228"/>
      <c r="K20" s="228"/>
      <c r="L20" s="10">
        <v>42948</v>
      </c>
      <c r="M20" s="11" t="s">
        <v>56</v>
      </c>
      <c r="N20" s="20">
        <v>78060</v>
      </c>
      <c r="O20" s="228"/>
      <c r="Q20" s="19"/>
    </row>
    <row r="21" spans="1:17" s="15" customFormat="1" ht="48.75" customHeight="1">
      <c r="A21" s="12">
        <v>2</v>
      </c>
      <c r="B21" s="12" t="s">
        <v>28</v>
      </c>
      <c r="C21" s="12" t="s">
        <v>57</v>
      </c>
      <c r="D21" s="12"/>
      <c r="E21" s="12"/>
      <c r="F21" s="12" t="s">
        <v>58</v>
      </c>
      <c r="G21" s="12">
        <v>7.32</v>
      </c>
      <c r="H21" s="12"/>
      <c r="I21" s="16">
        <f>47930.52+47</f>
        <v>47977.52</v>
      </c>
      <c r="J21" s="16">
        <v>132268.16</v>
      </c>
      <c r="K21" s="16">
        <v>70511.520000000004</v>
      </c>
      <c r="L21" s="9"/>
      <c r="M21" s="9"/>
      <c r="N21" s="9"/>
      <c r="O21" s="16">
        <f>K21</f>
        <v>70511.520000000004</v>
      </c>
      <c r="Q21" s="15">
        <f>K21/J21</f>
        <v>0.53309519086074841</v>
      </c>
    </row>
    <row r="22" spans="1:17">
      <c r="A22" s="2"/>
    </row>
    <row r="23" spans="1:17" s="17" customFormat="1" ht="15.75">
      <c r="A23" s="4" t="s">
        <v>64</v>
      </c>
      <c r="C23" s="17" t="s">
        <v>63</v>
      </c>
    </row>
    <row r="24" spans="1:17" s="17" customFormat="1" ht="15.75">
      <c r="A24" s="4"/>
      <c r="C24" s="17" t="s">
        <v>65</v>
      </c>
    </row>
    <row r="25" spans="1:17" s="17" customFormat="1" ht="15.75">
      <c r="A25" s="4"/>
    </row>
    <row r="26" spans="1:17" s="17" customFormat="1" ht="15.75">
      <c r="A26" s="4"/>
    </row>
    <row r="27" spans="1:17" s="17" customFormat="1" ht="15.75">
      <c r="A27" s="4" t="s">
        <v>60</v>
      </c>
    </row>
    <row r="28" spans="1:17" s="17" customFormat="1" ht="15.75">
      <c r="A28" s="4" t="s">
        <v>59</v>
      </c>
    </row>
    <row r="29" spans="1:17">
      <c r="A29" s="2" t="s">
        <v>48</v>
      </c>
    </row>
  </sheetData>
  <mergeCells count="38">
    <mergeCell ref="M15:M16"/>
    <mergeCell ref="O18:O20"/>
    <mergeCell ref="A1:O1"/>
    <mergeCell ref="A2:O2"/>
    <mergeCell ref="A3:O3"/>
    <mergeCell ref="A4:O4"/>
    <mergeCell ref="A5:O5"/>
    <mergeCell ref="A6:O6"/>
    <mergeCell ref="D8:M8"/>
    <mergeCell ref="N15:N16"/>
    <mergeCell ref="H14:I14"/>
    <mergeCell ref="J14:K14"/>
    <mergeCell ref="L14:N14"/>
    <mergeCell ref="O14:O16"/>
    <mergeCell ref="H15:H16"/>
    <mergeCell ref="I15:I16"/>
    <mergeCell ref="D11:L11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K15:K16"/>
    <mergeCell ref="L15:L16"/>
    <mergeCell ref="A14:A16"/>
    <mergeCell ref="B14:B16"/>
    <mergeCell ref="C14:C16"/>
    <mergeCell ref="D14:D16"/>
    <mergeCell ref="E14:E16"/>
    <mergeCell ref="J15:J16"/>
    <mergeCell ref="F14:F16"/>
    <mergeCell ref="G14:G16"/>
  </mergeCells>
  <pageMargins left="0.39370078740157483" right="0.39370078740157483" top="0.74803149606299213" bottom="0.74803149606299213" header="0.31496062992125984" footer="0.31496062992125984"/>
  <pageSetup paperSize="9" scale="6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3"/>
  <sheetViews>
    <sheetView workbookViewId="0">
      <pane xSplit="3" ySplit="14" topLeftCell="K21" activePane="bottomRight" state="frozen"/>
      <selection activeCell="O10" sqref="O10"/>
      <selection pane="topRight" activeCell="O10" sqref="O10"/>
      <selection pane="bottomLeft" activeCell="O10" sqref="O10"/>
      <selection pane="bottomRight" activeCell="O10" sqref="O10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  <col min="28" max="28" width="9.7109375" bestFit="1" customWidth="1"/>
    <col min="30" max="30" width="11.28515625" customWidth="1"/>
  </cols>
  <sheetData>
    <row r="1" spans="1:30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30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30" s="13" customFormat="1" ht="15.75">
      <c r="A3" s="187" t="str">
        <f>'УК 4 кв. 2024г.'!A4:O4</f>
        <v xml:space="preserve">по состоянию за 4 квартал 2024 года на 01 января 2025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30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30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30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30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30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30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30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30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30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30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  <c r="AB13" s="38" t="s">
        <v>451</v>
      </c>
    </row>
    <row r="14" spans="1:30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30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4752.7</v>
      </c>
      <c r="G15" s="32">
        <v>6.66</v>
      </c>
      <c r="H15" s="33">
        <f>'ТСЖ 3 кв.2024г.'!H15-'ТСЖ 3 кв.2024г.'!I15+X15+V15+W15</f>
        <v>426594.3060000001</v>
      </c>
      <c r="I15" s="33">
        <f>Z15+AA15+X15+AB15</f>
        <v>116448.19</v>
      </c>
      <c r="J15" s="33">
        <f>'ТСЖ 3 кв.2024г.'!J15+Z15+AA15+X15</f>
        <v>3333052.790000001</v>
      </c>
      <c r="K15" s="33">
        <f>'ТСЖ 3 кв.2024г.'!K15+'ТСЖ 4 кв.2024г.'!I15</f>
        <v>3054141.2899999996</v>
      </c>
      <c r="L15" s="43"/>
      <c r="M15" s="66"/>
      <c r="N15" s="33">
        <f>'ТСЖ 3 кв.2024г.'!N15</f>
        <v>426357.21</v>
      </c>
      <c r="O15" s="105">
        <f>K15-N15</f>
        <v>2627784.0799999996</v>
      </c>
      <c r="P15" s="74">
        <v>520817.08</v>
      </c>
      <c r="Q15" s="46">
        <f>K15/J15*100</f>
        <v>91.631950719868399</v>
      </c>
      <c r="S15" s="48">
        <f>J15-K15+16536.37</f>
        <v>295447.87000000139</v>
      </c>
      <c r="T15" s="48">
        <f>H15-I15</f>
        <v>310146.1160000001</v>
      </c>
      <c r="V15" s="42">
        <v>94958.91</v>
      </c>
      <c r="W15" s="42">
        <v>5479.13</v>
      </c>
      <c r="X15" s="48">
        <v>3157.33</v>
      </c>
      <c r="Y15" s="48"/>
      <c r="Z15" s="48">
        <v>107579.89</v>
      </c>
      <c r="AA15" s="48">
        <v>5710.97</v>
      </c>
    </row>
    <row r="16" spans="1:30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6.66</v>
      </c>
      <c r="H16" s="33">
        <f>'ТСЖ 3 кв.2024г.'!H16-'ТСЖ 3 кв.2024г.'!I16+X16+V16+W16</f>
        <v>105887.18999999996</v>
      </c>
      <c r="I16" s="33">
        <f t="shared" ref="I16:I29" si="0">Z16+AA16+X16+AB16</f>
        <v>55976.9</v>
      </c>
      <c r="J16" s="33">
        <f>'ТСЖ 3 кв.2024г.'!J16+Z16+AA16+X16</f>
        <v>1356486.0800000005</v>
      </c>
      <c r="K16" s="33">
        <f>'ТСЖ 3 кв.2024г.'!K16+'ТСЖ 4 кв.2024г.'!I16</f>
        <v>1271779.73</v>
      </c>
      <c r="L16" s="43"/>
      <c r="M16" s="66"/>
      <c r="N16" s="33">
        <f>'ТСЖ 3 кв.2024г.'!N16</f>
        <v>221688.82</v>
      </c>
      <c r="O16" s="105">
        <f t="shared" ref="O16:O29" si="1">K16-N16</f>
        <v>1050090.9099999999</v>
      </c>
      <c r="P16" s="78">
        <v>264064.82</v>
      </c>
      <c r="Q16" s="46">
        <f>K16/J16*100</f>
        <v>93.75545748320539</v>
      </c>
      <c r="S16" s="48">
        <f t="shared" ref="S16:S29" si="2">J16-K16+X16</f>
        <v>84706.350000000559</v>
      </c>
      <c r="T16" s="48">
        <f t="shared" ref="T16:T29" si="3">H16-I16</f>
        <v>49910.289999999957</v>
      </c>
      <c r="V16" s="124">
        <v>38137.86</v>
      </c>
      <c r="W16" s="124">
        <v>970.41</v>
      </c>
      <c r="X16" s="125"/>
      <c r="Y16" s="125"/>
      <c r="Z16" s="124">
        <v>53220.83</v>
      </c>
      <c r="AA16" s="124">
        <v>2756.07</v>
      </c>
      <c r="AB16" s="48"/>
      <c r="AC16" s="49">
        <f>F16*G16*3</f>
        <v>38137.824000000001</v>
      </c>
      <c r="AD16" s="48">
        <f>V16-AC16</f>
        <v>3.6000000000058208E-2</v>
      </c>
    </row>
    <row r="17" spans="1:30" s="49" customFormat="1" ht="39.75" customHeight="1">
      <c r="A17" s="32">
        <v>1</v>
      </c>
      <c r="B17" s="142" t="s">
        <v>28</v>
      </c>
      <c r="C17" s="142" t="s">
        <v>402</v>
      </c>
      <c r="D17" s="142">
        <v>2002</v>
      </c>
      <c r="E17" s="142"/>
      <c r="F17" s="145">
        <v>1947.3</v>
      </c>
      <c r="G17" s="142">
        <v>6.66</v>
      </c>
      <c r="H17" s="33">
        <f>'ТСЖ 3 кв.2024г.'!H17-'ТСЖ 3 кв.2024г.'!I17+X17+V17+W17</f>
        <v>203067.21000000014</v>
      </c>
      <c r="I17" s="33">
        <f t="shared" si="0"/>
        <v>25785.71</v>
      </c>
      <c r="J17" s="33">
        <f>'ТСЖ 3 кв.2024г.'!J17+Z17+AA17+X17</f>
        <v>1319889.1199999989</v>
      </c>
      <c r="K17" s="33">
        <f>'ТСЖ 3 кв.2024г.'!K17+'ТСЖ 4 кв.2024г.'!I17</f>
        <v>1176356.18</v>
      </c>
      <c r="L17" s="43"/>
      <c r="M17" s="66"/>
      <c r="N17" s="33">
        <f>'ТСЖ 3 кв.2024г.'!N17</f>
        <v>476040</v>
      </c>
      <c r="O17" s="105">
        <f t="shared" si="1"/>
        <v>700316.17999999993</v>
      </c>
      <c r="P17" s="74">
        <v>253163.82</v>
      </c>
      <c r="Q17" s="146">
        <f>K17/J17*100</f>
        <v>89.125378956074798</v>
      </c>
      <c r="S17" s="48">
        <f t="shared" si="2"/>
        <v>143532.93999999901</v>
      </c>
      <c r="T17" s="48">
        <f t="shared" si="3"/>
        <v>177281.50000000015</v>
      </c>
      <c r="V17" s="124">
        <v>38907.06</v>
      </c>
      <c r="W17" s="124">
        <f>3261.35-0.59</f>
        <v>3260.7599999999998</v>
      </c>
      <c r="X17" s="125"/>
      <c r="Y17" s="125"/>
      <c r="Z17" s="124">
        <v>25761.32</v>
      </c>
      <c r="AA17" s="124">
        <v>24.39</v>
      </c>
      <c r="AB17" s="48"/>
      <c r="AC17" s="49">
        <f t="shared" ref="AC17:AC29" si="4">F17*G17*3</f>
        <v>38907.054000000004</v>
      </c>
      <c r="AD17" s="48">
        <f t="shared" ref="AD17:AD29" si="5">V17-AC17</f>
        <v>5.9999999939464033E-3</v>
      </c>
    </row>
    <row r="18" spans="1:30" s="49" customFormat="1" ht="63.75" customHeight="1" thickBot="1">
      <c r="A18" s="32">
        <v>1</v>
      </c>
      <c r="B18" s="142" t="s">
        <v>28</v>
      </c>
      <c r="C18" s="142" t="s">
        <v>403</v>
      </c>
      <c r="D18" s="142">
        <v>2003</v>
      </c>
      <c r="E18" s="142"/>
      <c r="F18" s="145">
        <v>2990</v>
      </c>
      <c r="G18" s="142">
        <v>6.66</v>
      </c>
      <c r="H18" s="33">
        <f>'ТСЖ 3 кв.2024г.'!H18-'ТСЖ 3 кв.2024г.'!I18+X18+V18+W18</f>
        <v>295312.08000000007</v>
      </c>
      <c r="I18" s="33">
        <f t="shared" si="0"/>
        <v>78481.960000000006</v>
      </c>
      <c r="J18" s="33">
        <f>'ТСЖ 3 кв.2024г.'!J18+Z18+AA18+X18</f>
        <v>2021453.8099999991</v>
      </c>
      <c r="K18" s="33">
        <f>'ТСЖ 3 кв.2024г.'!K18+'ТСЖ 4 кв.2024г.'!I18</f>
        <v>1871727.39</v>
      </c>
      <c r="L18" s="43"/>
      <c r="M18" s="66"/>
      <c r="N18" s="33">
        <f>'ТСЖ 3 кв.2024г.'!N18</f>
        <v>731630</v>
      </c>
      <c r="O18" s="105">
        <f t="shared" si="1"/>
        <v>1140097.3899999999</v>
      </c>
      <c r="P18" s="44">
        <v>378042.71</v>
      </c>
      <c r="Q18" s="146">
        <f t="shared" ref="Q18:Q28" si="6">K18/J18*100</f>
        <v>92.593131771831111</v>
      </c>
      <c r="S18" s="48">
        <f t="shared" si="2"/>
        <v>151071.73999999923</v>
      </c>
      <c r="T18" s="48">
        <f t="shared" si="3"/>
        <v>216830.12000000005</v>
      </c>
      <c r="V18" s="124">
        <v>59740.32</v>
      </c>
      <c r="W18" s="124">
        <v>3736.46</v>
      </c>
      <c r="X18" s="125">
        <v>1345.32</v>
      </c>
      <c r="Y18" s="125"/>
      <c r="Z18" s="124">
        <v>71158.34</v>
      </c>
      <c r="AA18" s="124">
        <v>5978.3</v>
      </c>
      <c r="AB18" s="48"/>
      <c r="AC18" s="49">
        <f t="shared" si="4"/>
        <v>59740.200000000004</v>
      </c>
      <c r="AD18" s="48">
        <f t="shared" si="5"/>
        <v>0.11999999999534339</v>
      </c>
    </row>
    <row r="19" spans="1:30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6.66</v>
      </c>
      <c r="H19" s="33">
        <f>'ТСЖ 3 кв.2024г.'!H19-'ТСЖ 3 кв.2024г.'!I19+X19+V19+W19</f>
        <v>97974.470000000016</v>
      </c>
      <c r="I19" s="33">
        <f t="shared" si="0"/>
        <v>45640.729999999996</v>
      </c>
      <c r="J19" s="33">
        <f>'ТСЖ 3 кв.2024г.'!J19+Z19+AA19+X19</f>
        <v>1265461.2500000002</v>
      </c>
      <c r="K19" s="33">
        <f>'ТСЖ 3 кв.2024г.'!K19+'ТСЖ 4 кв.2024г.'!I19</f>
        <v>1123726.52</v>
      </c>
      <c r="L19" s="43"/>
      <c r="M19" s="66"/>
      <c r="N19" s="33">
        <f>'ТСЖ 3 кв.2024г.'!N19</f>
        <v>230810</v>
      </c>
      <c r="O19" s="105">
        <f>K19-N19</f>
        <v>892916.52</v>
      </c>
      <c r="P19" s="44">
        <v>252978.03</v>
      </c>
      <c r="Q19" s="46">
        <f>K19/J19*100</f>
        <v>88.799757400710604</v>
      </c>
      <c r="S19" s="93">
        <f t="shared" si="2"/>
        <v>141734.73000000021</v>
      </c>
      <c r="T19" s="93">
        <f t="shared" si="3"/>
        <v>52333.74000000002</v>
      </c>
      <c r="V19" s="124">
        <v>33938.01</v>
      </c>
      <c r="W19" s="124">
        <v>972.36</v>
      </c>
      <c r="X19" s="126"/>
      <c r="Y19" s="126"/>
      <c r="Z19" s="124">
        <f>45774.49-5012.9</f>
        <v>40761.589999999997</v>
      </c>
      <c r="AA19" s="124">
        <v>4879.1400000000003</v>
      </c>
      <c r="AB19" s="48"/>
      <c r="AC19" s="49">
        <f t="shared" si="4"/>
        <v>33938.027999999998</v>
      </c>
      <c r="AD19" s="48">
        <f t="shared" si="5"/>
        <v>-1.7999999996391125E-2</v>
      </c>
    </row>
    <row r="20" spans="1:30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6.66</v>
      </c>
      <c r="H20" s="33">
        <f>'ТСЖ 3 кв.2024г.'!H20-'ТСЖ 3 кв.2024г.'!I20+X20+V20+W20</f>
        <v>111304.56999999999</v>
      </c>
      <c r="I20" s="33">
        <f t="shared" si="0"/>
        <v>25790.559999999998</v>
      </c>
      <c r="J20" s="33">
        <f>'ТСЖ 3 кв.2024г.'!J20+Z20+AA20+X20</f>
        <v>775924.88</v>
      </c>
      <c r="K20" s="33">
        <f>'ТСЖ 3 кв.2024г.'!K20+'ТСЖ 4 кв.2024г.'!I20</f>
        <v>738919.42999999993</v>
      </c>
      <c r="L20" s="43"/>
      <c r="M20" s="66"/>
      <c r="N20" s="33">
        <f>'ТСЖ 3 кв.2024г.'!N20</f>
        <v>208003.99</v>
      </c>
      <c r="O20" s="105">
        <f t="shared" si="1"/>
        <v>530915.43999999994</v>
      </c>
      <c r="P20" s="74">
        <v>124839.69</v>
      </c>
      <c r="Q20" s="46">
        <f t="shared" si="6"/>
        <v>95.230794764565346</v>
      </c>
      <c r="S20" s="93">
        <f t="shared" si="2"/>
        <v>37005.45000000007</v>
      </c>
      <c r="T20" s="93">
        <f t="shared" si="3"/>
        <v>85514.01</v>
      </c>
      <c r="V20" s="124">
        <v>23756.19</v>
      </c>
      <c r="W20" s="124">
        <v>1397.29</v>
      </c>
      <c r="X20" s="126"/>
      <c r="Y20" s="126"/>
      <c r="Z20" s="124">
        <v>25274.799999999999</v>
      </c>
      <c r="AA20" s="124">
        <v>515.76</v>
      </c>
      <c r="AB20" s="48"/>
      <c r="AC20" s="49">
        <f t="shared" si="4"/>
        <v>23756.22</v>
      </c>
      <c r="AD20" s="48">
        <f t="shared" si="5"/>
        <v>-3.0000000002473826E-2</v>
      </c>
    </row>
    <row r="21" spans="1:30" s="92" customFormat="1" ht="52.5" customHeight="1" thickBot="1">
      <c r="A21" s="32">
        <v>1</v>
      </c>
      <c r="B21" s="142" t="s">
        <v>28</v>
      </c>
      <c r="C21" s="142" t="s">
        <v>391</v>
      </c>
      <c r="D21" s="142">
        <v>2012</v>
      </c>
      <c r="E21" s="142"/>
      <c r="F21" s="145">
        <v>2427.8000000000002</v>
      </c>
      <c r="G21" s="142">
        <v>6.66</v>
      </c>
      <c r="H21" s="33">
        <f>'ТСЖ 3 кв.2024г.'!H21-'ТСЖ 3 кв.2024г.'!I21+X21+V21+W21</f>
        <v>196023.21999999997</v>
      </c>
      <c r="I21" s="33">
        <f t="shared" si="0"/>
        <v>54183.05</v>
      </c>
      <c r="J21" s="33">
        <f>'ТСЖ 3 кв.2024г.'!J21+Z21+AA21+X21</f>
        <v>1633540.4699999997</v>
      </c>
      <c r="K21" s="33">
        <f>'ТСЖ 3 кв.2024г.'!K21+'ТСЖ 4 кв.2024г.'!I21</f>
        <v>1533603.73</v>
      </c>
      <c r="L21" s="43"/>
      <c r="M21" s="66"/>
      <c r="N21" s="33">
        <f>'ТСЖ 3 кв.2024г.'!N21</f>
        <v>0</v>
      </c>
      <c r="O21" s="105">
        <f t="shared" si="1"/>
        <v>1533603.73</v>
      </c>
      <c r="P21" s="44">
        <v>388089.32</v>
      </c>
      <c r="Q21" s="146">
        <f t="shared" si="6"/>
        <v>93.882199931049172</v>
      </c>
      <c r="S21" s="93">
        <f t="shared" si="2"/>
        <v>99936.739999999758</v>
      </c>
      <c r="T21" s="93">
        <f t="shared" si="3"/>
        <v>141840.16999999998</v>
      </c>
      <c r="V21" s="124">
        <f>48507.39</f>
        <v>48507.39</v>
      </c>
      <c r="W21" s="124">
        <v>2333.61</v>
      </c>
      <c r="X21" s="126"/>
      <c r="Y21" s="126"/>
      <c r="Z21" s="124">
        <v>49815.66</v>
      </c>
      <c r="AA21" s="124">
        <v>4367.3900000000003</v>
      </c>
      <c r="AB21" s="48"/>
      <c r="AC21" s="49">
        <f t="shared" si="4"/>
        <v>48507.444000000003</v>
      </c>
      <c r="AD21" s="48">
        <f t="shared" si="5"/>
        <v>-5.400000000372529E-2</v>
      </c>
    </row>
    <row r="22" spans="1:30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6.66</v>
      </c>
      <c r="H22" s="33">
        <f>'ТСЖ 3 кв.2024г.'!H22-'ТСЖ 3 кв.2024г.'!I22+X22+V22+W22</f>
        <v>108592.72000000004</v>
      </c>
      <c r="I22" s="33">
        <f t="shared" si="0"/>
        <v>72411.549999999988</v>
      </c>
      <c r="J22" s="33">
        <f>'ТСЖ 3 кв.2024г.'!J22+Z22+AA22+X22</f>
        <v>1463934.4900000002</v>
      </c>
      <c r="K22" s="33">
        <f>'ТСЖ 3 кв.2024г.'!K22+'ТСЖ 4 кв.2024г.'!I22</f>
        <v>1402087.47</v>
      </c>
      <c r="L22" s="43"/>
      <c r="M22" s="66"/>
      <c r="N22" s="33">
        <f>'ТСЖ 3 кв.2024г.'!N22</f>
        <v>454457.47</v>
      </c>
      <c r="O22" s="105">
        <f t="shared" si="1"/>
        <v>947630</v>
      </c>
      <c r="P22" s="74">
        <v>223464.31</v>
      </c>
      <c r="Q22" s="46">
        <f>K22/J22*100</f>
        <v>95.775287731625198</v>
      </c>
      <c r="S22" s="93">
        <f t="shared" si="2"/>
        <v>61847.020000000251</v>
      </c>
      <c r="T22" s="93">
        <f t="shared" si="3"/>
        <v>36181.170000000056</v>
      </c>
      <c r="V22" s="124">
        <v>41516.519999999997</v>
      </c>
      <c r="W22" s="124">
        <v>745.23</v>
      </c>
      <c r="X22" s="126"/>
      <c r="Y22" s="126"/>
      <c r="Z22" s="124">
        <v>66060.009999999995</v>
      </c>
      <c r="AA22" s="124">
        <v>6351.54</v>
      </c>
      <c r="AB22" s="48"/>
      <c r="AC22" s="49">
        <f t="shared" si="4"/>
        <v>41516.442000000003</v>
      </c>
      <c r="AD22" s="48">
        <f t="shared" si="5"/>
        <v>7.7999999994062819E-2</v>
      </c>
    </row>
    <row r="23" spans="1:30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6.66</v>
      </c>
      <c r="H23" s="33">
        <f>'ТСЖ 3 кв.2024г.'!H23-'ТСЖ 3 кв.2024г.'!I23+X23+V23+W23</f>
        <v>62058.71</v>
      </c>
      <c r="I23" s="33">
        <f t="shared" si="0"/>
        <v>44020.07</v>
      </c>
      <c r="J23" s="33">
        <f>'ТСЖ 3 кв.2024г.'!J23+Z23+AA23+X23</f>
        <v>1415439.3899999994</v>
      </c>
      <c r="K23" s="33">
        <f>'ТСЖ 3 кв.2024г.'!K23+'ТСЖ 4 кв.2024г.'!I23</f>
        <v>1412343.8800000001</v>
      </c>
      <c r="L23" s="43"/>
      <c r="M23" s="66"/>
      <c r="N23" s="33">
        <f>'ТСЖ 3 кв.2024г.'!N23</f>
        <v>435700.47000000003</v>
      </c>
      <c r="O23" s="105">
        <f t="shared" si="1"/>
        <v>976643.41000000015</v>
      </c>
      <c r="P23" s="78">
        <v>243907.98</v>
      </c>
      <c r="Q23" s="46">
        <f t="shared" si="6"/>
        <v>99.781303952548654</v>
      </c>
      <c r="S23" s="93">
        <f t="shared" si="2"/>
        <v>3095.5099999993108</v>
      </c>
      <c r="T23" s="93">
        <f t="shared" si="3"/>
        <v>18038.64</v>
      </c>
      <c r="V23" s="124">
        <v>41688.239999999998</v>
      </c>
      <c r="W23" s="124">
        <v>302.77999999999997</v>
      </c>
      <c r="X23" s="126"/>
      <c r="Y23" s="126"/>
      <c r="Z23" s="124">
        <v>43100.69</v>
      </c>
      <c r="AA23" s="124">
        <v>79.38</v>
      </c>
      <c r="AB23" s="48">
        <f>1210.96-370.96</f>
        <v>840</v>
      </c>
      <c r="AC23" s="49">
        <f t="shared" si="4"/>
        <v>41688.270000000004</v>
      </c>
      <c r="AD23" s="48">
        <f t="shared" si="5"/>
        <v>-3.0000000006111804E-2</v>
      </c>
    </row>
    <row r="24" spans="1:30" s="92" customFormat="1" ht="30.75" thickBot="1">
      <c r="A24" s="32">
        <v>1</v>
      </c>
      <c r="B24" s="142" t="s">
        <v>28</v>
      </c>
      <c r="C24" s="142" t="s">
        <v>394</v>
      </c>
      <c r="D24" s="142">
        <v>1996</v>
      </c>
      <c r="E24" s="142"/>
      <c r="F24" s="145">
        <v>2824.4</v>
      </c>
      <c r="G24" s="142">
        <v>6.66</v>
      </c>
      <c r="H24" s="33">
        <f>'ТСЖ 3 кв.2024г.'!H24-'ТСЖ 3 кв.2024г.'!I24+X24+V24+W24</f>
        <v>263516.99</v>
      </c>
      <c r="I24" s="33">
        <f t="shared" si="0"/>
        <v>103163.92</v>
      </c>
      <c r="J24" s="33">
        <f>'ТСЖ 3 кв.2024г.'!J24+Z24+AA24+X24</f>
        <v>2046964.8300000005</v>
      </c>
      <c r="K24" s="33">
        <f>'ТСЖ 3 кв.2024г.'!K24+'ТСЖ 4 кв.2024г.'!I24</f>
        <v>1836540.7700000003</v>
      </c>
      <c r="L24" s="43"/>
      <c r="M24" s="66"/>
      <c r="N24" s="33">
        <f>'ТСЖ 3 кв.2024г.'!N24</f>
        <v>124391</v>
      </c>
      <c r="O24" s="105">
        <f t="shared" si="1"/>
        <v>1712149.7700000003</v>
      </c>
      <c r="P24" s="44">
        <v>420551</v>
      </c>
      <c r="Q24" s="146">
        <f>K24/J24*100</f>
        <v>89.720191724056136</v>
      </c>
      <c r="S24" s="93">
        <f>J24-K24+3064.16</f>
        <v>213488.22000000029</v>
      </c>
      <c r="T24" s="93">
        <f t="shared" si="3"/>
        <v>160353.07</v>
      </c>
      <c r="U24" s="128">
        <v>1771.81</v>
      </c>
      <c r="V24" s="124">
        <f>56431.5</f>
        <v>56431.5</v>
      </c>
      <c r="W24" s="124">
        <v>3313.65</v>
      </c>
      <c r="X24" s="126">
        <v>2024.03</v>
      </c>
      <c r="Y24" s="126"/>
      <c r="Z24" s="124">
        <v>91941.759999999995</v>
      </c>
      <c r="AA24" s="124">
        <v>9198.1299999999992</v>
      </c>
      <c r="AB24" s="48"/>
      <c r="AC24" s="49">
        <f t="shared" si="4"/>
        <v>56431.512000000002</v>
      </c>
      <c r="AD24" s="48">
        <f t="shared" si="5"/>
        <v>-1.2000000002444722E-2</v>
      </c>
    </row>
    <row r="25" spans="1:30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6.66</v>
      </c>
      <c r="H25" s="33">
        <f>'ТСЖ 3 кв.2024г.'!H25-'ТСЖ 3 кв.2024г.'!I25+X25+V25+W25</f>
        <v>72103.66</v>
      </c>
      <c r="I25" s="33">
        <f t="shared" si="0"/>
        <v>44509.780000000006</v>
      </c>
      <c r="J25" s="33">
        <f>'ТСЖ 3 кв.2024г.'!J25+Z25+AA25+X25</f>
        <v>792156.38000000012</v>
      </c>
      <c r="K25" s="33">
        <f>'ТСЖ 3 кв.2024г.'!K25+'ТСЖ 4 кв.2024г.'!I25</f>
        <v>757215.52000000014</v>
      </c>
      <c r="L25" s="43"/>
      <c r="M25" s="66"/>
      <c r="N25" s="33">
        <f>'ТСЖ 3 кв.2024г.'!N25</f>
        <v>248930</v>
      </c>
      <c r="O25" s="105">
        <f t="shared" si="1"/>
        <v>508285.52000000014</v>
      </c>
      <c r="P25" s="44">
        <v>146097.04999999999</v>
      </c>
      <c r="Q25" s="46">
        <f t="shared" si="6"/>
        <v>95.589146173385615</v>
      </c>
      <c r="S25" s="93">
        <f t="shared" si="2"/>
        <v>34940.859999999986</v>
      </c>
      <c r="T25" s="93">
        <f t="shared" si="3"/>
        <v>27593.879999999997</v>
      </c>
      <c r="U25" s="93"/>
      <c r="V25" s="124">
        <v>22677.27</v>
      </c>
      <c r="W25" s="124">
        <v>573.34</v>
      </c>
      <c r="X25" s="126"/>
      <c r="Y25" s="126"/>
      <c r="Z25" s="124">
        <v>43770.3</v>
      </c>
      <c r="AA25" s="124">
        <v>739.48</v>
      </c>
      <c r="AB25" s="48"/>
      <c r="AC25" s="49">
        <f t="shared" si="4"/>
        <v>22677.300000000003</v>
      </c>
      <c r="AD25" s="48">
        <f t="shared" si="5"/>
        <v>-3.0000000002473826E-2</v>
      </c>
    </row>
    <row r="26" spans="1:30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6.66</v>
      </c>
      <c r="H26" s="33">
        <f>'ТСЖ 3 кв.2024г.'!H26-'ТСЖ 3 кв.2024г.'!I26+X26+V26+W26</f>
        <v>259860.26999999981</v>
      </c>
      <c r="I26" s="33">
        <f t="shared" si="0"/>
        <v>57362.439999999995</v>
      </c>
      <c r="J26" s="33">
        <f>'ТСЖ 3 кв.2024г.'!J26+Z26+AA26+X26</f>
        <v>1428013.52</v>
      </c>
      <c r="K26" s="33">
        <f>'ТСЖ 3 кв.2024г.'!K26+'ТСЖ 4 кв.2024г.'!I26</f>
        <v>1284782.6599999999</v>
      </c>
      <c r="L26" s="43"/>
      <c r="M26" s="66"/>
      <c r="N26" s="33">
        <f>'ТСЖ 3 кв.2024г.'!N26</f>
        <v>532320</v>
      </c>
      <c r="O26" s="105">
        <f t="shared" si="1"/>
        <v>752462.65999999992</v>
      </c>
      <c r="P26" s="44">
        <v>235115.53</v>
      </c>
      <c r="Q26" s="46">
        <f>K26/J26*100</f>
        <v>89.969922693729103</v>
      </c>
      <c r="S26" s="93">
        <f t="shared" si="2"/>
        <v>143230.8600000001</v>
      </c>
      <c r="T26" s="93">
        <f t="shared" si="3"/>
        <v>202497.82999999981</v>
      </c>
      <c r="V26" s="124">
        <v>42343.68</v>
      </c>
      <c r="W26" s="124">
        <v>3958.52</v>
      </c>
      <c r="X26" s="126"/>
      <c r="Y26" s="126"/>
      <c r="Z26" s="124">
        <v>54700.38</v>
      </c>
      <c r="AA26" s="124">
        <v>2662.06</v>
      </c>
      <c r="AB26" s="48"/>
      <c r="AC26" s="49">
        <f t="shared" si="4"/>
        <v>42343.614000000009</v>
      </c>
      <c r="AD26" s="48">
        <f t="shared" si="5"/>
        <v>6.5999999991618097E-2</v>
      </c>
    </row>
    <row r="27" spans="1:30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6.66</v>
      </c>
      <c r="H27" s="33">
        <f>'ТСЖ 3 кв.2024г.'!H27-'ТСЖ 3 кв.2024г.'!I27+X27+V27+W27</f>
        <v>226469.96</v>
      </c>
      <c r="I27" s="33">
        <f t="shared" si="0"/>
        <v>66640.040000000008</v>
      </c>
      <c r="J27" s="33">
        <f>'ТСЖ 3 кв.2024г.'!J27+Z27+AA27+X27</f>
        <v>1435857.25</v>
      </c>
      <c r="K27" s="33">
        <f>'ТСЖ 3 кв.2024г.'!K27+'ТСЖ 4 кв.2024г.'!I27</f>
        <v>1303514.4400000002</v>
      </c>
      <c r="L27" s="43"/>
      <c r="M27" s="66"/>
      <c r="N27" s="33">
        <f>'ТСЖ 3 кв.2024г.'!N27</f>
        <v>475020</v>
      </c>
      <c r="O27" s="105">
        <f t="shared" si="1"/>
        <v>828494.44000000018</v>
      </c>
      <c r="P27" s="44">
        <v>287247.24</v>
      </c>
      <c r="Q27" s="46">
        <f>K27/J27*100</f>
        <v>90.783010637025384</v>
      </c>
      <c r="S27" s="93">
        <f t="shared" si="2"/>
        <v>132342.80999999982</v>
      </c>
      <c r="T27" s="93">
        <f t="shared" si="3"/>
        <v>159829.91999999998</v>
      </c>
      <c r="V27" s="124">
        <v>41848.11</v>
      </c>
      <c r="W27" s="124">
        <v>2894.41</v>
      </c>
      <c r="X27" s="126"/>
      <c r="Y27" s="126"/>
      <c r="Z27" s="124">
        <v>62467.41</v>
      </c>
      <c r="AA27" s="124">
        <v>4172.63</v>
      </c>
      <c r="AB27" s="48"/>
      <c r="AC27" s="49">
        <f t="shared" si="4"/>
        <v>41848.11</v>
      </c>
      <c r="AD27" s="48">
        <f t="shared" si="5"/>
        <v>0</v>
      </c>
    </row>
    <row r="28" spans="1:30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6.66</v>
      </c>
      <c r="H28" s="33">
        <f>'ТСЖ 3 кв.2024г.'!H28-'ТСЖ 3 кв.2024г.'!I28+X28+V28+W28</f>
        <v>180370.77000000005</v>
      </c>
      <c r="I28" s="33">
        <f t="shared" si="0"/>
        <v>119350.45</v>
      </c>
      <c r="J28" s="33">
        <f>'ТСЖ 3 кв.2024г.'!J28+Z28+AA28+X28</f>
        <v>2278728.35</v>
      </c>
      <c r="K28" s="33">
        <f>'ТСЖ 3 кв.2024г.'!K28+'ТСЖ 4 кв.2024г.'!I28</f>
        <v>2159969.0399999996</v>
      </c>
      <c r="L28" s="43"/>
      <c r="M28" s="66"/>
      <c r="N28" s="33">
        <f>'ТСЖ 3 кв.2024г.'!N28</f>
        <v>774822</v>
      </c>
      <c r="O28" s="105">
        <f t="shared" si="1"/>
        <v>1385147.0399999996</v>
      </c>
      <c r="P28" s="44">
        <v>354498.41</v>
      </c>
      <c r="Q28" s="46">
        <f t="shared" si="6"/>
        <v>94.788351582144472</v>
      </c>
      <c r="S28" s="93">
        <f t="shared" si="2"/>
        <v>120383.73000000052</v>
      </c>
      <c r="T28" s="93">
        <f t="shared" si="3"/>
        <v>61020.320000000051</v>
      </c>
      <c r="U28" s="127">
        <v>1296.3699999999999</v>
      </c>
      <c r="V28" s="124">
        <v>64447.44</v>
      </c>
      <c r="W28" s="124">
        <v>2475.29</v>
      </c>
      <c r="X28" s="126">
        <v>1624.42</v>
      </c>
      <c r="Y28" s="126"/>
      <c r="Z28" s="124">
        <v>111354.44</v>
      </c>
      <c r="AA28" s="124">
        <v>6371.59</v>
      </c>
      <c r="AB28" s="48"/>
      <c r="AC28" s="49">
        <f t="shared" si="4"/>
        <v>64447.487999999998</v>
      </c>
      <c r="AD28" s="48">
        <f t="shared" si="5"/>
        <v>-4.7999999995226972E-2</v>
      </c>
    </row>
    <row r="29" spans="1:30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6.66</v>
      </c>
      <c r="H29" s="33">
        <f>'ТСЖ 3 кв.2024г.'!H29-'ТСЖ 3 кв.2024г.'!I29+X29+V29+W29</f>
        <v>212387.71999999991</v>
      </c>
      <c r="I29" s="33">
        <f t="shared" si="0"/>
        <v>63533.02</v>
      </c>
      <c r="J29" s="33">
        <f>'ТСЖ 3 кв.2024г.'!J29+Z29+AA29+X29</f>
        <v>1462542.2299999993</v>
      </c>
      <c r="K29" s="33">
        <f>'ТСЖ 3 кв.2024г.'!K29+'ТСЖ 4 кв.2024г.'!I29</f>
        <v>1337047.3700000001</v>
      </c>
      <c r="L29" s="43"/>
      <c r="M29" s="66"/>
      <c r="N29" s="33">
        <f>'ТСЖ 3 кв.2024г.'!N29</f>
        <v>721587</v>
      </c>
      <c r="O29" s="105">
        <f t="shared" si="1"/>
        <v>615460.37000000011</v>
      </c>
      <c r="P29" s="44">
        <v>309141.18</v>
      </c>
      <c r="Q29" s="46">
        <f>K29/J29*100</f>
        <v>91.419402638377207</v>
      </c>
      <c r="S29" s="48">
        <f t="shared" si="2"/>
        <v>125494.85999999917</v>
      </c>
      <c r="T29" s="48">
        <f t="shared" si="3"/>
        <v>148854.69999999992</v>
      </c>
      <c r="V29" s="124">
        <v>42667.29</v>
      </c>
      <c r="W29" s="124">
        <f>2962.04-6031.87</f>
        <v>-3069.83</v>
      </c>
      <c r="X29" s="125"/>
      <c r="Y29" s="125"/>
      <c r="Z29" s="124">
        <v>63519.14</v>
      </c>
      <c r="AA29" s="124">
        <v>13.88</v>
      </c>
      <c r="AB29" s="48"/>
      <c r="AC29" s="49">
        <f t="shared" si="4"/>
        <v>42667.29</v>
      </c>
      <c r="AD29" s="48">
        <f t="shared" si="5"/>
        <v>0</v>
      </c>
    </row>
    <row r="30" spans="1:30" ht="12.75" customHeight="1">
      <c r="A30" s="2"/>
      <c r="O30" s="137">
        <f>SUM(O15:O29)</f>
        <v>16201997.459999997</v>
      </c>
      <c r="S30" s="3">
        <f>SUM(S15:S29)</f>
        <v>1788259.6899999997</v>
      </c>
      <c r="V30" s="3"/>
      <c r="W30" s="3"/>
      <c r="Z30" s="3">
        <f>SUM(Z15:Z29)</f>
        <v>910486.55999999994</v>
      </c>
      <c r="AA30" s="3">
        <f>SUM(AA15:AA29)</f>
        <v>53820.71</v>
      </c>
    </row>
    <row r="31" spans="1:30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SUBTOTAL(9,V29,V28,V27,V26,V25,V24,V23,V22,V21,V20,V19,V18,V17,V16,V15)</f>
        <v>691565.79</v>
      </c>
      <c r="W31" s="3">
        <f>SUBTOTAL(9,W29,W28,W27,W26,W25,W24,W23,W22,W21,W20,W19,W18,W17,W16,W15)</f>
        <v>29343.41</v>
      </c>
      <c r="X31" s="3"/>
    </row>
    <row r="32" spans="1:30" ht="18.75" customHeight="1">
      <c r="A32" s="2"/>
      <c r="B32" s="107" t="s">
        <v>164</v>
      </c>
      <c r="C32" s="182" t="s">
        <v>478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t="15.75">
      <c r="A33" s="2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27" s="27" customFormat="1" ht="15.75">
      <c r="A34" s="123" t="str">
        <f>'УК 4 кв. 2024г.'!A39</f>
        <v>06 января 2024г.</v>
      </c>
      <c r="I34" s="28"/>
      <c r="Z34" s="28"/>
      <c r="AA34" s="28"/>
    </row>
    <row r="35" spans="1:27" s="27" customFormat="1" ht="15.75">
      <c r="A35" s="4"/>
      <c r="I35" s="28"/>
      <c r="Z35" s="28"/>
      <c r="AA35" s="28"/>
    </row>
    <row r="36" spans="1:27" s="27" customFormat="1" ht="15.75">
      <c r="A36" s="4"/>
      <c r="I36" s="28"/>
      <c r="Z36" s="28"/>
      <c r="AA36" s="28"/>
    </row>
    <row r="37" spans="1:27" s="27" customFormat="1" ht="15.75">
      <c r="A37" s="4" t="s">
        <v>47</v>
      </c>
      <c r="I37" s="28"/>
      <c r="Z37" s="28"/>
      <c r="AA37" s="28"/>
    </row>
    <row r="38" spans="1:27" s="27" customFormat="1" ht="15.75">
      <c r="A38" s="30" t="s">
        <v>48</v>
      </c>
      <c r="I38" s="28"/>
      <c r="Z38" s="28"/>
      <c r="AA38" s="28"/>
    </row>
    <row r="39" spans="1:27">
      <c r="A39" s="1"/>
    </row>
    <row r="40" spans="1:27">
      <c r="A40" s="1"/>
      <c r="K40" s="3"/>
    </row>
    <row r="41" spans="1:27">
      <c r="A41" s="1"/>
    </row>
    <row r="42" spans="1:27">
      <c r="A42" s="1"/>
    </row>
    <row r="43" spans="1:27">
      <c r="A43" s="1"/>
    </row>
    <row r="44" spans="1:27">
      <c r="A44" s="1"/>
    </row>
    <row r="45" spans="1:27">
      <c r="A45" s="1"/>
    </row>
    <row r="46" spans="1:27">
      <c r="A46" s="1"/>
    </row>
    <row r="47" spans="1:27">
      <c r="A47" s="1"/>
    </row>
    <row r="48" spans="1:27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autoFilter ref="A13:AA32">
    <filterColumn colId="2"/>
  </autoFilter>
  <mergeCells count="25">
    <mergeCell ref="C32:O32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  <mergeCell ref="A1:Q1"/>
    <mergeCell ref="A2:Q2"/>
    <mergeCell ref="A3:O3"/>
    <mergeCell ref="D5:M5"/>
    <mergeCell ref="D8:L8"/>
    <mergeCell ref="A11:A13"/>
    <mergeCell ref="B11:B13"/>
    <mergeCell ref="C11:C13"/>
    <mergeCell ref="D11:D13"/>
    <mergeCell ref="E11:E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2"/>
  <sheetViews>
    <sheetView topLeftCell="A14" zoomScaleNormal="100" workbookViewId="0">
      <selection activeCell="O10" sqref="O10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24" width="9.140625" style="13"/>
    <col min="25" max="25" width="11.42578125" style="3" bestFit="1" customWidth="1"/>
    <col min="26" max="26" width="9.28515625" style="3" bestFit="1" customWidth="1"/>
    <col min="29" max="29" width="12.28515625" customWidth="1"/>
    <col min="30" max="16384" width="9.140625" style="13"/>
  </cols>
  <sheetData>
    <row r="1" spans="1:29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Y1" s="26"/>
      <c r="Z1" s="26"/>
      <c r="AA1" s="17"/>
      <c r="AB1" s="17"/>
      <c r="AC1" s="17"/>
    </row>
    <row r="2" spans="1:29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Y2" s="26"/>
      <c r="Z2" s="26"/>
    </row>
    <row r="3" spans="1:29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  <c r="Y3" s="37"/>
      <c r="Z3" s="37"/>
      <c r="AA3" s="13"/>
      <c r="AB3" s="13"/>
      <c r="AC3" s="13"/>
    </row>
    <row r="4" spans="1:29" ht="15.75">
      <c r="A4" s="158" t="s">
        <v>467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Y4" s="37"/>
      <c r="Z4" s="37"/>
      <c r="AA4" s="13"/>
      <c r="AB4" s="13"/>
      <c r="AC4" s="13"/>
    </row>
    <row r="5" spans="1:29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  <c r="Y5" s="37"/>
      <c r="Z5" s="37"/>
      <c r="AA5" s="13"/>
      <c r="AB5" s="13"/>
      <c r="AC5" s="13"/>
    </row>
    <row r="6" spans="1:29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  <c r="Y6" s="37"/>
      <c r="Z6" s="37"/>
      <c r="AA6" s="13"/>
      <c r="AB6" s="13"/>
      <c r="AC6" s="13"/>
    </row>
    <row r="7" spans="1:29" ht="15.75">
      <c r="A7" s="1" t="s">
        <v>7</v>
      </c>
      <c r="D7" s="18" t="s">
        <v>51</v>
      </c>
      <c r="E7" s="17"/>
      <c r="F7" s="17"/>
      <c r="G7" s="17"/>
      <c r="H7" s="17"/>
      <c r="Y7" s="37"/>
      <c r="Z7" s="37"/>
      <c r="AA7" s="13"/>
      <c r="AB7" s="13"/>
      <c r="AC7" s="13"/>
    </row>
    <row r="8" spans="1:29">
      <c r="A8" s="1" t="s">
        <v>8</v>
      </c>
      <c r="Y8" s="37"/>
      <c r="Z8" s="37"/>
      <c r="AA8" s="13"/>
      <c r="AB8" s="13"/>
      <c r="AC8" s="13"/>
    </row>
    <row r="9" spans="1:29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  <c r="Y9" s="37"/>
      <c r="Z9" s="37"/>
      <c r="AA9" s="13"/>
      <c r="AB9" s="13"/>
      <c r="AC9" s="13"/>
    </row>
    <row r="10" spans="1:29" ht="15.75">
      <c r="A10" s="18" t="s">
        <v>61</v>
      </c>
      <c r="Y10" s="37"/>
      <c r="Z10" s="37"/>
      <c r="AA10" s="13"/>
      <c r="AB10" s="13"/>
      <c r="AC10" s="13"/>
    </row>
    <row r="11" spans="1:29" ht="15.75">
      <c r="A11" s="18" t="s">
        <v>62</v>
      </c>
      <c r="Y11" s="39"/>
      <c r="Z11" s="39"/>
      <c r="AA11" s="38"/>
      <c r="AB11" s="38"/>
      <c r="AC11" s="38"/>
    </row>
    <row r="12" spans="1:29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  <c r="Y12" s="39"/>
      <c r="Z12" s="39"/>
      <c r="AA12" s="38"/>
      <c r="AB12" s="38"/>
      <c r="AC12" s="38"/>
    </row>
    <row r="13" spans="1:29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  <c r="Y13" s="39"/>
      <c r="Z13" s="39"/>
      <c r="AA13" s="38"/>
      <c r="AB13" s="38"/>
      <c r="AC13" s="38"/>
    </row>
    <row r="14" spans="1:29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  <c r="Y14" s="39" t="s">
        <v>388</v>
      </c>
      <c r="Z14" s="39" t="s">
        <v>427</v>
      </c>
      <c r="AA14" s="14" t="s">
        <v>451</v>
      </c>
      <c r="AB14" s="14" t="s">
        <v>453</v>
      </c>
      <c r="AC14" s="14"/>
    </row>
    <row r="15" spans="1:29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  <c r="Y15" s="48"/>
      <c r="Z15" s="48"/>
      <c r="AA15" s="49"/>
      <c r="AB15" s="49"/>
      <c r="AC15" s="49"/>
    </row>
    <row r="16" spans="1:29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6.66</v>
      </c>
      <c r="H16" s="33">
        <f>'УК 3 кв. 2024г.'!H16-'УК 3 кв. 2024г.'!I16+V16+W16+X16</f>
        <v>453148.0199999999</v>
      </c>
      <c r="I16" s="33">
        <f>Y16+Z16+AA16+AB16</f>
        <v>198857.72</v>
      </c>
      <c r="J16" s="33">
        <f>'УК 3 кв. 2024г.'!J16+'УК 4 кв. 2024г.'!V16+'УК 4 кв. 2024г.'!W16</f>
        <v>6417489.089999998</v>
      </c>
      <c r="K16" s="33">
        <f>'УК 3 кв. 2024г.'!K16+'УК 4 кв. 2024г.'!I16</f>
        <v>6243975.4800000004</v>
      </c>
      <c r="L16" s="64"/>
      <c r="M16" s="47"/>
      <c r="N16" s="33">
        <f>'УК 3 кв. 2024г.'!N16</f>
        <v>894970.86</v>
      </c>
      <c r="O16" s="33">
        <f>K16-N16</f>
        <v>5349004.62</v>
      </c>
      <c r="P16" s="110">
        <f>K16/J16*100</f>
        <v>97.296238332989546</v>
      </c>
      <c r="R16" s="19">
        <f>J16-K16</f>
        <v>173513.60999999754</v>
      </c>
      <c r="S16" s="19">
        <f>H16-I16</f>
        <v>254290.2999999999</v>
      </c>
      <c r="V16" s="129">
        <v>186163.68</v>
      </c>
      <c r="W16" s="129">
        <v>2459.8200000000002</v>
      </c>
      <c r="X16" s="130"/>
      <c r="Y16" s="129">
        <v>193148.92</v>
      </c>
      <c r="Z16" s="129">
        <v>5708.8</v>
      </c>
      <c r="AA16" s="48"/>
      <c r="AB16" s="48"/>
      <c r="AC16" s="49">
        <f>F16*G16*3</f>
        <v>186163.65000000002</v>
      </c>
    </row>
    <row r="17" spans="1:29" s="15" customFormat="1" ht="37.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3">
        <v>3083.8</v>
      </c>
      <c r="G17" s="32">
        <v>9.34</v>
      </c>
      <c r="H17" s="33">
        <f>'УК 3 кв. 2024г.'!H17-'УК 3 кв. 2024г.'!I17+V17+W17+X17</f>
        <v>238728.92000000013</v>
      </c>
      <c r="I17" s="33">
        <f t="shared" ref="I17:I26" si="0">Y17+Z17+AA17+AB17</f>
        <v>146677.65</v>
      </c>
      <c r="J17" s="33">
        <f>'УК 3 кв. 2024г.'!J17+'УК 4 кв. 2024г.'!V17+'УК 4 кв. 2024г.'!W17</f>
        <v>2171981.0900000003</v>
      </c>
      <c r="K17" s="33">
        <f>'УК 3 кв. 2024г.'!K17+'УК 4 кв. 2024г.'!I17</f>
        <v>2079929.8199999998</v>
      </c>
      <c r="L17" s="32"/>
      <c r="M17" s="32"/>
      <c r="N17" s="33">
        <f>'УК 3 кв. 2024г.'!N17</f>
        <v>0</v>
      </c>
      <c r="O17" s="33">
        <f>K17-N17</f>
        <v>2079929.8199999998</v>
      </c>
      <c r="P17" s="110">
        <f t="shared" ref="P17:P24" si="1">K17/J17*100</f>
        <v>95.761875164391952</v>
      </c>
      <c r="R17" s="19">
        <f>J17-K17</f>
        <v>92051.270000000484</v>
      </c>
      <c r="S17" s="19">
        <f>H17-I17</f>
        <v>92051.270000000135</v>
      </c>
      <c r="V17" s="129">
        <v>86598.63</v>
      </c>
      <c r="W17" s="129">
        <v>3207.01</v>
      </c>
      <c r="X17" s="130"/>
      <c r="Y17" s="129">
        <v>137070.62</v>
      </c>
      <c r="Z17" s="131">
        <v>9607.0300000000007</v>
      </c>
      <c r="AA17" s="48"/>
      <c r="AB17" s="48"/>
      <c r="AC17" s="49">
        <f>F17*G17*3</f>
        <v>86408.076000000001</v>
      </c>
    </row>
    <row r="18" spans="1:29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9.34</v>
      </c>
      <c r="H18" s="33">
        <f>'УК 3 кв. 2024г.'!H18-'УК 3 кв. 2024г.'!I18+V18+W18+X18</f>
        <v>657088.65000000014</v>
      </c>
      <c r="I18" s="33">
        <f t="shared" si="0"/>
        <v>198308.77</v>
      </c>
      <c r="J18" s="33">
        <f>'УК 3 кв. 2024г.'!J18+'УК 4 кв. 2024г.'!V18+'УК 4 кв. 2024г.'!W18</f>
        <v>2460512.9499999997</v>
      </c>
      <c r="K18" s="33">
        <f>'УК 3 кв. 2024г.'!K18+'УК 4 кв. 2024г.'!I18</f>
        <v>2001733.07</v>
      </c>
      <c r="L18" s="34"/>
      <c r="M18" s="89"/>
      <c r="N18" s="33">
        <f>'УК 3 кв. 2024г.'!N18+N19+N20</f>
        <v>2001733.07</v>
      </c>
      <c r="O18" s="33">
        <f>K18-N18</f>
        <v>0</v>
      </c>
      <c r="P18" s="110">
        <f t="shared" si="1"/>
        <v>81.354299313889015</v>
      </c>
      <c r="R18" s="19">
        <f>J18-K18</f>
        <v>458779.87999999966</v>
      </c>
      <c r="S18" s="19">
        <f>H18-I18</f>
        <v>458779.88000000012</v>
      </c>
      <c r="V18" s="129">
        <v>70531.92</v>
      </c>
      <c r="W18" s="129">
        <v>8006.02</v>
      </c>
      <c r="X18" s="130"/>
      <c r="Y18" s="129">
        <v>151749.76999999999</v>
      </c>
      <c r="Z18" s="129">
        <v>46559</v>
      </c>
      <c r="AA18" s="48"/>
      <c r="AB18" s="48"/>
      <c r="AC18" s="49">
        <f t="shared" ref="AC18:AC26" si="2">F18*G18*3</f>
        <v>70531.943999999989</v>
      </c>
    </row>
    <row r="19" spans="1:29" s="15" customFormat="1" ht="68.25" customHeight="1">
      <c r="A19" s="32"/>
      <c r="B19" s="32"/>
      <c r="C19" s="103"/>
      <c r="D19" s="32"/>
      <c r="E19" s="32"/>
      <c r="F19" s="33"/>
      <c r="G19" s="32"/>
      <c r="H19" s="33"/>
      <c r="I19" s="33"/>
      <c r="J19" s="33"/>
      <c r="K19" s="33"/>
      <c r="L19" s="147">
        <v>45639</v>
      </c>
      <c r="M19" s="89" t="s">
        <v>470</v>
      </c>
      <c r="N19" s="33">
        <v>968187.8</v>
      </c>
      <c r="O19" s="33"/>
      <c r="P19" s="110"/>
      <c r="R19" s="19"/>
      <c r="S19" s="19"/>
      <c r="V19" s="129"/>
      <c r="W19" s="129"/>
      <c r="X19" s="130"/>
      <c r="Y19" s="129"/>
      <c r="Z19" s="129"/>
      <c r="AA19" s="48"/>
      <c r="AB19" s="48"/>
      <c r="AC19" s="49"/>
    </row>
    <row r="20" spans="1:29" s="15" customFormat="1" ht="68.25" customHeight="1">
      <c r="A20" s="32"/>
      <c r="B20" s="32"/>
      <c r="C20" s="103"/>
      <c r="D20" s="32"/>
      <c r="E20" s="32"/>
      <c r="F20" s="33"/>
      <c r="G20" s="32"/>
      <c r="H20" s="33"/>
      <c r="I20" s="33"/>
      <c r="J20" s="33"/>
      <c r="K20" s="33"/>
      <c r="L20" s="147">
        <v>45654</v>
      </c>
      <c r="M20" s="89" t="s">
        <v>470</v>
      </c>
      <c r="N20" s="33">
        <v>104587.77</v>
      </c>
      <c r="O20" s="33"/>
      <c r="P20" s="110"/>
      <c r="R20" s="19"/>
      <c r="S20" s="19"/>
      <c r="V20" s="129"/>
      <c r="W20" s="129"/>
      <c r="X20" s="130"/>
      <c r="Y20" s="129"/>
      <c r="Z20" s="129"/>
      <c r="AA20" s="48"/>
      <c r="AB20" s="48"/>
      <c r="AC20" s="49"/>
    </row>
    <row r="21" spans="1:29" s="15" customFormat="1" ht="33" customHeight="1">
      <c r="A21" s="32">
        <v>1</v>
      </c>
      <c r="B21" s="32" t="s">
        <v>28</v>
      </c>
      <c r="C21" s="103" t="s">
        <v>408</v>
      </c>
      <c r="D21" s="32">
        <v>2012</v>
      </c>
      <c r="E21" s="32"/>
      <c r="F21" s="33">
        <v>2729.9</v>
      </c>
      <c r="G21" s="32">
        <v>9.34</v>
      </c>
      <c r="H21" s="33">
        <f>'УК 3 кв. 2024г.'!H20-'УК 3 кв. 2024г.'!I20+V21+W21+X21</f>
        <v>362493.9499999999</v>
      </c>
      <c r="I21" s="33">
        <f t="shared" si="0"/>
        <v>78389.5</v>
      </c>
      <c r="J21" s="33">
        <f>'УК 3 кв. 2024г.'!J20+'УК 4 кв. 2024г.'!V21+'УК 4 кв. 2024г.'!W21</f>
        <v>2680222.63</v>
      </c>
      <c r="K21" s="33">
        <f>'УК 3 кв. 2024г.'!K20+'УК 4 кв. 2024г.'!I21</f>
        <v>2396118.1799999997</v>
      </c>
      <c r="L21" s="43"/>
      <c r="M21" s="91"/>
      <c r="N21" s="33">
        <f>'УК 3 кв. 2024г.'!N20+N22</f>
        <v>2385919.21</v>
      </c>
      <c r="O21" s="33">
        <f t="shared" ref="O21:O26" si="3">K21-N21</f>
        <v>10198.969999999739</v>
      </c>
      <c r="P21" s="120">
        <f t="shared" si="1"/>
        <v>89.399968240697973</v>
      </c>
      <c r="R21" s="19">
        <f>J21-K21</f>
        <v>284104.45000000019</v>
      </c>
      <c r="S21" s="19">
        <f t="shared" ref="S21:S26" si="4">H21-I21</f>
        <v>284104.4499999999</v>
      </c>
      <c r="U21" s="19"/>
      <c r="V21" s="129">
        <v>76491.899999999994</v>
      </c>
      <c r="W21" s="129">
        <v>5745.56</v>
      </c>
      <c r="X21" s="130"/>
      <c r="Y21" s="129">
        <v>78297.25</v>
      </c>
      <c r="Z21" s="131">
        <v>92.25</v>
      </c>
      <c r="AA21" s="48"/>
      <c r="AB21" s="48"/>
      <c r="AC21" s="49">
        <f t="shared" si="2"/>
        <v>76491.797999999995</v>
      </c>
    </row>
    <row r="22" spans="1:29" s="15" customFormat="1" ht="68.25" customHeight="1">
      <c r="A22" s="32"/>
      <c r="B22" s="32"/>
      <c r="C22" s="103"/>
      <c r="D22" s="32"/>
      <c r="E22" s="32"/>
      <c r="F22" s="33"/>
      <c r="G22" s="32"/>
      <c r="H22" s="33"/>
      <c r="I22" s="33"/>
      <c r="J22" s="33"/>
      <c r="K22" s="33"/>
      <c r="L22" s="147">
        <v>45638</v>
      </c>
      <c r="M22" s="89" t="s">
        <v>469</v>
      </c>
      <c r="N22" s="33">
        <v>1067168.31</v>
      </c>
      <c r="O22" s="33"/>
      <c r="P22" s="110"/>
      <c r="R22" s="19"/>
      <c r="S22" s="19"/>
      <c r="V22" s="129"/>
      <c r="W22" s="129"/>
      <c r="X22" s="130"/>
      <c r="Y22" s="129"/>
      <c r="Z22" s="129"/>
      <c r="AA22" s="48"/>
      <c r="AB22" s="48"/>
      <c r="AC22" s="49"/>
    </row>
    <row r="23" spans="1:29" ht="35.25" customHeight="1">
      <c r="A23" s="32">
        <v>1</v>
      </c>
      <c r="B23" s="32" t="s">
        <v>28</v>
      </c>
      <c r="C23" s="103" t="s">
        <v>409</v>
      </c>
      <c r="D23" s="32">
        <v>2007</v>
      </c>
      <c r="E23" s="32"/>
      <c r="F23" s="33">
        <v>2918.7</v>
      </c>
      <c r="G23" s="32">
        <v>9.34</v>
      </c>
      <c r="H23" s="33">
        <f>'УК 3 кв. 2024г.'!H22-'УК 3 кв. 2024г.'!I22+V23+W23+X23</f>
        <v>101697.57999999994</v>
      </c>
      <c r="I23" s="33">
        <f t="shared" si="0"/>
        <v>86414.7</v>
      </c>
      <c r="J23" s="33">
        <f>'УК 3 кв. 2024г.'!J22+'УК 4 кв. 2024г.'!V23+'УК 4 кв. 2024г.'!W23</f>
        <v>2857393.5199999996</v>
      </c>
      <c r="K23" s="33">
        <f>'УК 3 кв. 2024г.'!K22+'УК 4 кв. 2024г.'!I23</f>
        <v>2588774.1100000003</v>
      </c>
      <c r="L23" s="32"/>
      <c r="M23" s="32"/>
      <c r="N23" s="33">
        <f>'УК 3 кв. 2024г.'!N22</f>
        <v>650595</v>
      </c>
      <c r="O23" s="33">
        <f t="shared" si="3"/>
        <v>1938179.1100000003</v>
      </c>
      <c r="P23" s="120">
        <f t="shared" si="1"/>
        <v>90.599145405775289</v>
      </c>
      <c r="R23" s="19">
        <f>J23-K23</f>
        <v>268619.40999999922</v>
      </c>
      <c r="S23" s="19">
        <f t="shared" si="4"/>
        <v>15282.879999999946</v>
      </c>
      <c r="V23" s="129">
        <v>81782.039999999994</v>
      </c>
      <c r="W23" s="129">
        <v>4771.0600000000004</v>
      </c>
      <c r="X23" s="130"/>
      <c r="Y23" s="129">
        <v>84351.02</v>
      </c>
      <c r="Z23" s="131">
        <v>2063.6799999999998</v>
      </c>
      <c r="AA23" s="48"/>
      <c r="AB23" s="48"/>
      <c r="AC23" s="49">
        <f t="shared" si="2"/>
        <v>81781.974000000002</v>
      </c>
    </row>
    <row r="24" spans="1:29" ht="35.25" customHeight="1">
      <c r="A24" s="32">
        <v>1</v>
      </c>
      <c r="B24" s="32" t="s">
        <v>28</v>
      </c>
      <c r="C24" s="103" t="s">
        <v>410</v>
      </c>
      <c r="D24" s="32">
        <v>2018</v>
      </c>
      <c r="E24" s="32"/>
      <c r="F24" s="33">
        <v>4764.6000000000004</v>
      </c>
      <c r="G24" s="32">
        <v>9.34</v>
      </c>
      <c r="H24" s="33">
        <f>'УК 3 кв. 2024г.'!H23-'УК 3 кв. 2024г.'!I23+V24+W24+X24</f>
        <v>379866.81999999983</v>
      </c>
      <c r="I24" s="33">
        <f t="shared" si="0"/>
        <v>144051.73000000001</v>
      </c>
      <c r="J24" s="33">
        <f>'УК 3 кв. 2024г.'!J23+'УК 4 кв. 2024г.'!V24+'УК 4 кв. 2024г.'!W24</f>
        <v>2000683.5400000003</v>
      </c>
      <c r="K24" s="33">
        <f>'УК 3 кв. 2024г.'!K23+'УК 4 кв. 2024г.'!I24</f>
        <v>1754171.5</v>
      </c>
      <c r="L24" s="32"/>
      <c r="M24" s="32"/>
      <c r="N24" s="33">
        <f>'УК 3 кв. 2024г.'!N23</f>
        <v>0</v>
      </c>
      <c r="O24" s="33">
        <f t="shared" si="3"/>
        <v>1754171.5</v>
      </c>
      <c r="P24" s="120">
        <f t="shared" si="1"/>
        <v>87.678609081774113</v>
      </c>
      <c r="R24" s="19">
        <f t="shared" ref="R24:R26" si="5">J24-K24</f>
        <v>246512.04000000027</v>
      </c>
      <c r="S24" s="19">
        <f t="shared" si="4"/>
        <v>235815.08999999982</v>
      </c>
      <c r="V24" s="129">
        <v>133504.07999999999</v>
      </c>
      <c r="W24" s="129">
        <v>5017.1000000000004</v>
      </c>
      <c r="X24" s="131"/>
      <c r="Y24" s="129">
        <v>139692.79</v>
      </c>
      <c r="Z24" s="129">
        <v>4358.9399999999996</v>
      </c>
      <c r="AA24" s="48"/>
      <c r="AB24" s="48"/>
      <c r="AC24" s="49">
        <f t="shared" si="2"/>
        <v>133504.092</v>
      </c>
    </row>
    <row r="25" spans="1:29" ht="35.25" customHeight="1">
      <c r="A25" s="32">
        <v>1</v>
      </c>
      <c r="B25" s="32" t="s">
        <v>28</v>
      </c>
      <c r="C25" s="103" t="s">
        <v>411</v>
      </c>
      <c r="D25" s="32">
        <v>2007</v>
      </c>
      <c r="E25" s="32"/>
      <c r="F25" s="33">
        <v>1202.9000000000001</v>
      </c>
      <c r="G25" s="32">
        <v>6.66</v>
      </c>
      <c r="H25" s="33">
        <f>'УК 3 кв. 2024г.'!H24-'УК 3 кв. 2024г.'!I24+V25+W25+X25</f>
        <v>168532.26999999996</v>
      </c>
      <c r="I25" s="33">
        <f t="shared" si="0"/>
        <v>50106.450000000004</v>
      </c>
      <c r="J25" s="33">
        <f>'УК 3 кв. 2024г.'!J24+'УК 4 кв. 2024г.'!V25+'УК 4 кв. 2024г.'!W25</f>
        <v>822287.34000000032</v>
      </c>
      <c r="K25" s="33">
        <f>'УК 3 кв. 2024г.'!K24+'УК 4 кв. 2024г.'!I25</f>
        <v>717492.37</v>
      </c>
      <c r="L25" s="32"/>
      <c r="M25" s="32"/>
      <c r="N25" s="33">
        <f>'УК 3 кв. 2024г.'!N24</f>
        <v>0</v>
      </c>
      <c r="O25" s="33">
        <f>K25-N25</f>
        <v>717492.37</v>
      </c>
      <c r="P25" s="120">
        <f>K25/J25*100</f>
        <v>87.255675126896605</v>
      </c>
      <c r="R25" s="19">
        <f t="shared" si="5"/>
        <v>104794.97000000032</v>
      </c>
      <c r="S25" s="19">
        <f t="shared" si="4"/>
        <v>118425.81999999995</v>
      </c>
      <c r="V25" s="129">
        <v>24033.9</v>
      </c>
      <c r="W25" s="129">
        <v>2108.36</v>
      </c>
      <c r="X25" s="130"/>
      <c r="Y25" s="129">
        <v>46965.26</v>
      </c>
      <c r="Z25" s="130">
        <v>3141.19</v>
      </c>
      <c r="AA25" s="48"/>
      <c r="AB25" s="48"/>
      <c r="AC25" s="49">
        <f t="shared" si="2"/>
        <v>24033.942000000003</v>
      </c>
    </row>
    <row r="26" spans="1:29" ht="35.25" customHeight="1">
      <c r="A26" s="32">
        <v>1</v>
      </c>
      <c r="B26" s="32" t="s">
        <v>28</v>
      </c>
      <c r="C26" s="103" t="s">
        <v>412</v>
      </c>
      <c r="D26" s="32">
        <v>2006</v>
      </c>
      <c r="E26" s="32"/>
      <c r="F26" s="33">
        <v>1201.8</v>
      </c>
      <c r="G26" s="32">
        <v>6.66</v>
      </c>
      <c r="H26" s="33">
        <f>'УК 3 кв. 2024г.'!H25-'УК 3 кв. 2024г.'!I25+V26+W26+X26</f>
        <v>99746.549999999988</v>
      </c>
      <c r="I26" s="33">
        <f t="shared" si="0"/>
        <v>77167.42</v>
      </c>
      <c r="J26" s="33">
        <f>'УК 3 кв. 2024г.'!J25+'УК 4 кв. 2024г.'!V26+'УК 4 кв. 2024г.'!W26</f>
        <v>767376.48</v>
      </c>
      <c r="K26" s="33">
        <f>'УК 3 кв. 2024г.'!K25+'УК 4 кв. 2024г.'!I26</f>
        <v>734102.03</v>
      </c>
      <c r="L26" s="32"/>
      <c r="M26" s="32"/>
      <c r="N26" s="33">
        <f>'УК 3 кв. 2024г.'!N25</f>
        <v>369062</v>
      </c>
      <c r="O26" s="33">
        <f t="shared" si="3"/>
        <v>365040.03</v>
      </c>
      <c r="P26" s="120">
        <f>K26/J26*100</f>
        <v>95.663868926501365</v>
      </c>
      <c r="R26" s="19">
        <f t="shared" si="5"/>
        <v>33274.449999999953</v>
      </c>
      <c r="S26" s="19">
        <f t="shared" si="4"/>
        <v>22579.12999999999</v>
      </c>
      <c r="V26" s="129">
        <v>24011.97</v>
      </c>
      <c r="W26" s="129">
        <v>426.34</v>
      </c>
      <c r="X26" s="130"/>
      <c r="Y26" s="129">
        <v>68400.59</v>
      </c>
      <c r="Z26" s="129">
        <v>8766.83</v>
      </c>
      <c r="AA26" s="48"/>
      <c r="AB26" s="48"/>
      <c r="AC26" s="49">
        <f t="shared" si="2"/>
        <v>24011.964</v>
      </c>
    </row>
    <row r="27" spans="1:29">
      <c r="A27" s="67"/>
      <c r="B27" s="67"/>
      <c r="C27" s="67"/>
      <c r="D27" s="67"/>
      <c r="E27" s="67"/>
      <c r="F27" s="68"/>
      <c r="G27" s="67"/>
      <c r="H27" s="68"/>
      <c r="I27" s="68"/>
      <c r="J27" s="68"/>
      <c r="K27" s="68"/>
      <c r="L27" s="67"/>
      <c r="M27" s="67"/>
      <c r="N27" s="67"/>
      <c r="O27" s="68"/>
      <c r="P27" s="63"/>
      <c r="V27" s="37">
        <f>SUM(V16:V26)</f>
        <v>683118.12</v>
      </c>
      <c r="W27" s="37">
        <f>SUM(W16:W26)</f>
        <v>31741.27</v>
      </c>
      <c r="X27" s="37">
        <f t="shared" ref="X27:Z27" si="6">SUM(X16:X26)</f>
        <v>0</v>
      </c>
      <c r="Y27" s="37">
        <f t="shared" si="6"/>
        <v>899676.22000000009</v>
      </c>
      <c r="Z27" s="37">
        <f t="shared" si="6"/>
        <v>80297.72</v>
      </c>
      <c r="AA27" s="48"/>
      <c r="AB27" s="48"/>
      <c r="AC27" s="49">
        <f t="shared" ref="AC27:AC35" si="7">E27*F27*3</f>
        <v>0</v>
      </c>
    </row>
    <row r="28" spans="1:29" s="17" customFormat="1" ht="26.25" customHeight="1">
      <c r="A28" s="4" t="s">
        <v>64</v>
      </c>
      <c r="C28" s="90"/>
      <c r="D28" s="90"/>
      <c r="E28" s="90"/>
      <c r="F28" s="90"/>
      <c r="G28" s="90"/>
      <c r="H28" s="90"/>
      <c r="I28" s="90"/>
      <c r="J28" s="90"/>
      <c r="K28" s="90"/>
      <c r="L28" s="4"/>
      <c r="P28" s="62"/>
      <c r="Y28" s="124"/>
      <c r="Z28" s="124"/>
      <c r="AA28" s="48"/>
      <c r="AB28" s="48"/>
      <c r="AC28" s="49">
        <f t="shared" si="7"/>
        <v>0</v>
      </c>
    </row>
    <row r="29" spans="1:29" s="17" customFormat="1" ht="21" customHeight="1">
      <c r="A29" s="4"/>
      <c r="B29" s="136" t="s">
        <v>471</v>
      </c>
      <c r="C29" s="136"/>
      <c r="D29" s="136"/>
      <c r="E29" s="136"/>
      <c r="F29" s="136"/>
      <c r="G29" s="136"/>
      <c r="H29" s="136"/>
      <c r="I29" s="136"/>
      <c r="J29" s="136"/>
      <c r="K29" s="90"/>
      <c r="L29" s="4"/>
      <c r="P29" s="62"/>
      <c r="Y29" s="124"/>
      <c r="Z29" s="124"/>
      <c r="AA29" s="48"/>
      <c r="AB29" s="48"/>
      <c r="AC29" s="49">
        <f t="shared" si="7"/>
        <v>0</v>
      </c>
    </row>
    <row r="30" spans="1:29" s="62" customFormat="1" ht="29.25" customHeight="1">
      <c r="A30" s="111"/>
      <c r="B30" s="191" t="s">
        <v>479</v>
      </c>
      <c r="C30" s="191"/>
      <c r="D30" s="191"/>
      <c r="E30" s="191"/>
      <c r="F30" s="191"/>
      <c r="G30" s="191"/>
      <c r="H30" s="191"/>
      <c r="I30" s="191"/>
      <c r="J30" s="15"/>
      <c r="K30" s="15"/>
      <c r="Y30" s="124"/>
      <c r="Z30" s="124"/>
      <c r="AA30" s="48"/>
      <c r="AB30" s="48"/>
      <c r="AC30" s="49">
        <f t="shared" si="7"/>
        <v>0</v>
      </c>
    </row>
    <row r="31" spans="1:29" s="62" customFormat="1" ht="14.25" hidden="1" customHeight="1">
      <c r="A31" s="111"/>
      <c r="B31" s="13" t="s">
        <v>472</v>
      </c>
      <c r="C31" s="143"/>
      <c r="D31" s="143"/>
      <c r="E31" s="143"/>
      <c r="F31" s="143"/>
      <c r="G31" s="143"/>
      <c r="H31" s="143"/>
      <c r="I31" s="143"/>
      <c r="J31" s="15"/>
      <c r="K31" s="15"/>
      <c r="Y31" s="124"/>
      <c r="Z31" s="124"/>
      <c r="AA31" s="48"/>
      <c r="AB31" s="48"/>
      <c r="AC31" s="49"/>
    </row>
    <row r="32" spans="1:29" s="17" customFormat="1" ht="17.25" hidden="1" customHeight="1">
      <c r="A32" s="4"/>
      <c r="B32" s="13" t="s">
        <v>473</v>
      </c>
      <c r="C32" s="13"/>
      <c r="D32" s="13"/>
      <c r="E32" s="13"/>
      <c r="F32" s="13"/>
      <c r="G32" s="13"/>
      <c r="H32" s="13"/>
      <c r="I32" s="13"/>
      <c r="J32" s="13"/>
      <c r="K32" s="13"/>
      <c r="P32" s="62"/>
      <c r="Y32" s="124">
        <v>56183.08</v>
      </c>
      <c r="Z32" s="124">
        <v>20.37</v>
      </c>
      <c r="AA32" s="48"/>
      <c r="AB32" s="48"/>
      <c r="AC32" s="49">
        <f t="shared" si="7"/>
        <v>0</v>
      </c>
    </row>
    <row r="33" spans="1:29" s="17" customFormat="1" ht="17.25" hidden="1" customHeight="1">
      <c r="A33" s="4"/>
      <c r="B33" s="13" t="s">
        <v>474</v>
      </c>
      <c r="C33" s="13"/>
      <c r="D33" s="13"/>
      <c r="E33" s="13"/>
      <c r="F33" s="13"/>
      <c r="G33" s="13"/>
      <c r="H33" s="13"/>
      <c r="I33" s="13"/>
      <c r="J33" s="13"/>
      <c r="K33" s="13"/>
      <c r="P33" s="62"/>
      <c r="Y33" s="124">
        <v>56183.08</v>
      </c>
      <c r="Z33" s="124">
        <v>20.37</v>
      </c>
      <c r="AA33" s="48"/>
      <c r="AB33" s="48"/>
      <c r="AC33" s="49">
        <f t="shared" ref="AC33" si="8">E33*F33*3</f>
        <v>0</v>
      </c>
    </row>
    <row r="34" spans="1:29" s="17" customFormat="1" ht="17.25" hidden="1" customHeight="1">
      <c r="A34" s="4"/>
      <c r="B34" s="13" t="s">
        <v>475</v>
      </c>
      <c r="C34" s="13"/>
      <c r="D34" s="13"/>
      <c r="E34" s="13"/>
      <c r="F34" s="13"/>
      <c r="G34" s="13"/>
      <c r="H34" s="13"/>
      <c r="I34" s="13"/>
      <c r="J34" s="13"/>
      <c r="K34" s="13"/>
      <c r="P34" s="62"/>
      <c r="Y34" s="124"/>
      <c r="Z34" s="124"/>
      <c r="AA34" s="48"/>
      <c r="AB34" s="48"/>
      <c r="AC34" s="49"/>
    </row>
    <row r="35" spans="1:29" s="17" customFormat="1" ht="14.25" hidden="1" customHeight="1">
      <c r="A35" s="4"/>
      <c r="B35" s="13" t="s">
        <v>476</v>
      </c>
      <c r="C35" s="13"/>
      <c r="D35" s="13"/>
      <c r="E35" s="13"/>
      <c r="F35" s="13"/>
      <c r="G35" s="13"/>
      <c r="H35" s="13"/>
      <c r="I35" s="13"/>
      <c r="J35" s="13"/>
      <c r="K35" s="13"/>
      <c r="P35" s="62"/>
      <c r="Y35" s="124">
        <v>43711.13</v>
      </c>
      <c r="Z35" s="124">
        <v>979.02</v>
      </c>
      <c r="AA35" s="48"/>
      <c r="AB35" s="48"/>
      <c r="AC35" s="49">
        <f t="shared" si="7"/>
        <v>0</v>
      </c>
    </row>
    <row r="36" spans="1:29" s="17" customFormat="1" ht="14.25" hidden="1" customHeight="1">
      <c r="A36" s="4"/>
      <c r="B36" s="13" t="s">
        <v>477</v>
      </c>
      <c r="C36" s="13"/>
      <c r="D36" s="13"/>
      <c r="E36" s="13"/>
      <c r="F36" s="13"/>
      <c r="G36" s="13"/>
      <c r="H36" s="13"/>
      <c r="I36" s="13"/>
      <c r="J36" s="13"/>
      <c r="K36" s="13"/>
      <c r="P36" s="62"/>
      <c r="Y36" s="3"/>
      <c r="Z36" s="3"/>
      <c r="AA36"/>
      <c r="AB36"/>
      <c r="AC36"/>
    </row>
    <row r="37" spans="1:29" s="17" customFormat="1" ht="12" customHeight="1">
      <c r="A37" s="4"/>
      <c r="C37" s="13"/>
      <c r="D37" s="13"/>
      <c r="E37" s="13"/>
      <c r="F37" s="13"/>
      <c r="G37" s="13"/>
      <c r="H37" s="13"/>
      <c r="I37" s="13"/>
      <c r="J37" s="13"/>
      <c r="K37" s="13"/>
      <c r="P37" s="62"/>
      <c r="Y37" s="28"/>
      <c r="Z37" s="28"/>
      <c r="AA37" s="27"/>
      <c r="AB37" s="27"/>
      <c r="AC37" s="27"/>
    </row>
    <row r="38" spans="1:29" s="17" customFormat="1" ht="15" customHeight="1">
      <c r="A38" s="4"/>
      <c r="C38" s="13"/>
      <c r="D38" s="13"/>
      <c r="E38" s="13"/>
      <c r="F38" s="13"/>
      <c r="G38" s="13"/>
      <c r="H38" s="13"/>
      <c r="I38" s="13"/>
      <c r="J38" s="13"/>
      <c r="K38" s="13"/>
      <c r="P38" s="62"/>
      <c r="Y38" s="28"/>
      <c r="Z38" s="28"/>
      <c r="AA38" s="27"/>
      <c r="AB38" s="27"/>
      <c r="AC38" s="27"/>
    </row>
    <row r="39" spans="1:29" s="17" customFormat="1" ht="15.75">
      <c r="A39" s="4" t="s">
        <v>468</v>
      </c>
      <c r="P39" s="62"/>
      <c r="Y39" s="28"/>
      <c r="Z39" s="28"/>
      <c r="AA39" s="27"/>
      <c r="AB39" s="27"/>
      <c r="AC39" s="27"/>
    </row>
    <row r="40" spans="1:29" s="17" customFormat="1" ht="15.75">
      <c r="A40" s="4" t="s">
        <v>59</v>
      </c>
      <c r="P40" s="62"/>
      <c r="Y40" s="3"/>
      <c r="Z40" s="3"/>
      <c r="AA40"/>
      <c r="AB40"/>
      <c r="AC40"/>
    </row>
    <row r="41" spans="1:29" s="17" customFormat="1" ht="15.75">
      <c r="A41" s="4"/>
      <c r="P41" s="62"/>
      <c r="Y41" s="3"/>
      <c r="Z41" s="3"/>
      <c r="AA41"/>
      <c r="AB41"/>
      <c r="AC41"/>
    </row>
    <row r="42" spans="1:29">
      <c r="A42" s="2" t="s">
        <v>48</v>
      </c>
    </row>
  </sheetData>
  <sheetProtection sheet="1" objects="1" scenarios="1"/>
  <autoFilter ref="A15:W26"/>
  <mergeCells count="26">
    <mergeCell ref="B30:I30"/>
    <mergeCell ref="G12:G14"/>
    <mergeCell ref="H12:I12"/>
    <mergeCell ref="J12:K12"/>
    <mergeCell ref="L12:N12"/>
    <mergeCell ref="F12:F14"/>
    <mergeCell ref="O12:O14"/>
    <mergeCell ref="P12:P14"/>
    <mergeCell ref="H13:H14"/>
    <mergeCell ref="I13:I14"/>
    <mergeCell ref="J13:J14"/>
    <mergeCell ref="K13:K14"/>
    <mergeCell ref="L13:L14"/>
    <mergeCell ref="M13:M14"/>
    <mergeCell ref="N13:N14"/>
    <mergeCell ref="A12:A14"/>
    <mergeCell ref="B12:B14"/>
    <mergeCell ref="C12:C14"/>
    <mergeCell ref="D12:D14"/>
    <mergeCell ref="E12:E14"/>
    <mergeCell ref="D9:L9"/>
    <mergeCell ref="A1:P1"/>
    <mergeCell ref="A2:P2"/>
    <mergeCell ref="A3:O3"/>
    <mergeCell ref="A4:O4"/>
    <mergeCell ref="D6:M6"/>
  </mergeCells>
  <pageMargins left="0.78740157480314965" right="0.39370078740157483" top="0.39370078740157483" bottom="0.35433070866141736" header="0.31496062992125984" footer="0.31496062992125984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3"/>
  <sheetViews>
    <sheetView workbookViewId="0">
      <pane xSplit="3" ySplit="14" topLeftCell="H15" activePane="bottomRight" state="frozen"/>
      <selection activeCell="O10" sqref="O10"/>
      <selection pane="topRight" activeCell="O10" sqref="O10"/>
      <selection pane="bottomLeft" activeCell="O10" sqref="O10"/>
      <selection pane="bottomRight" activeCell="O10" sqref="O10"/>
    </sheetView>
  </sheetViews>
  <sheetFormatPr defaultRowHeight="15"/>
  <cols>
    <col min="1" max="1" width="6.140625" customWidth="1"/>
    <col min="2" max="2" width="11.7109375" customWidth="1"/>
    <col min="3" max="3" width="21.28515625" customWidth="1"/>
    <col min="7" max="7" width="9.7109375" customWidth="1"/>
    <col min="8" max="8" width="12.140625" customWidth="1"/>
    <col min="9" max="9" width="12.42578125" style="3" customWidth="1"/>
    <col min="10" max="10" width="12.7109375" customWidth="1"/>
    <col min="11" max="11" width="14.28515625" customWidth="1"/>
    <col min="12" max="12" width="10.7109375" customWidth="1"/>
    <col min="13" max="13" width="25.85546875" customWidth="1"/>
    <col min="14" max="14" width="13.140625" customWidth="1"/>
    <col min="15" max="15" width="14.85546875" customWidth="1"/>
    <col min="16" max="16" width="11.28515625" hidden="1" customWidth="1"/>
    <col min="17" max="17" width="8.140625" customWidth="1"/>
    <col min="19" max="19" width="12.42578125" customWidth="1"/>
    <col min="20" max="20" width="10" bestFit="1" customWidth="1"/>
    <col min="22" max="22" width="10" bestFit="1" customWidth="1"/>
    <col min="23" max="23" width="10" customWidth="1"/>
    <col min="26" max="26" width="11.42578125" style="3" bestFit="1" customWidth="1"/>
    <col min="27" max="27" width="9.28515625" style="3" bestFit="1" customWidth="1"/>
    <col min="28" max="28" width="9.7109375" bestFit="1" customWidth="1"/>
    <col min="30" max="30" width="11.28515625" customWidth="1"/>
  </cols>
  <sheetData>
    <row r="1" spans="1:30" s="17" customFormat="1" ht="15.7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Z1" s="26"/>
      <c r="AA1" s="26"/>
    </row>
    <row r="2" spans="1:30" s="17" customFormat="1" ht="31.5" customHeight="1">
      <c r="A2" s="188" t="s">
        <v>66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Z2" s="26"/>
      <c r="AA2" s="26"/>
    </row>
    <row r="3" spans="1:30" s="13" customFormat="1" ht="15.75">
      <c r="A3" s="187" t="str">
        <f>'УК 3 кв. 2024г.'!A4:O4</f>
        <v xml:space="preserve">по состоянию за 3 квартал 2024 года на 01 октября 2024 года 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0"/>
      <c r="Q3" s="90"/>
      <c r="Z3" s="37"/>
      <c r="AA3" s="37"/>
    </row>
    <row r="4" spans="1:30" s="13" customFormat="1" ht="15.75">
      <c r="A4" s="2" t="s">
        <v>4</v>
      </c>
      <c r="B4" s="90"/>
      <c r="C4" s="90"/>
      <c r="D4" s="4" t="s">
        <v>5</v>
      </c>
      <c r="E4" s="4"/>
      <c r="F4" s="4"/>
      <c r="G4" s="4"/>
      <c r="H4" s="4"/>
      <c r="I4" s="4"/>
      <c r="J4" s="4"/>
      <c r="K4" s="4"/>
      <c r="L4" s="90"/>
      <c r="M4" s="90"/>
      <c r="N4" s="90"/>
      <c r="O4" s="90"/>
      <c r="P4" s="90"/>
      <c r="Q4" s="90"/>
      <c r="Z4" s="37"/>
      <c r="AA4" s="37"/>
    </row>
    <row r="5" spans="1:30" s="13" customFormat="1" ht="9.75" customHeight="1">
      <c r="A5" s="90"/>
      <c r="B5" s="90"/>
      <c r="C5" s="90"/>
      <c r="D5" s="189" t="s">
        <v>6</v>
      </c>
      <c r="E5" s="189"/>
      <c r="F5" s="189"/>
      <c r="G5" s="189"/>
      <c r="H5" s="189"/>
      <c r="I5" s="189"/>
      <c r="J5" s="189"/>
      <c r="K5" s="189"/>
      <c r="L5" s="189"/>
      <c r="M5" s="189"/>
      <c r="N5" s="90"/>
      <c r="O5" s="90"/>
      <c r="P5" s="90"/>
      <c r="Q5" s="90"/>
      <c r="Z5" s="37"/>
      <c r="AA5" s="37"/>
    </row>
    <row r="6" spans="1:30" s="13" customFormat="1" ht="15.75">
      <c r="A6" s="2" t="s">
        <v>7</v>
      </c>
      <c r="B6" s="90"/>
      <c r="C6" s="90"/>
      <c r="D6" s="4" t="s">
        <v>68</v>
      </c>
      <c r="E6" s="4"/>
      <c r="F6" s="4"/>
      <c r="G6" s="4"/>
      <c r="H6" s="4"/>
      <c r="I6" s="90"/>
      <c r="J6" s="90"/>
      <c r="K6" s="90"/>
      <c r="L6" s="90"/>
      <c r="M6" s="90"/>
      <c r="N6" s="90"/>
      <c r="O6" s="90"/>
      <c r="P6" s="90"/>
      <c r="Q6" s="90"/>
      <c r="Z6" s="37"/>
      <c r="AA6" s="37"/>
    </row>
    <row r="7" spans="1:30" s="13" customFormat="1">
      <c r="A7" s="2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Z7" s="37"/>
      <c r="AA7" s="37"/>
    </row>
    <row r="8" spans="1:30" s="13" customFormat="1" ht="9.75" customHeight="1">
      <c r="A8" s="96"/>
      <c r="B8" s="96"/>
      <c r="C8" s="96"/>
      <c r="D8" s="189" t="s">
        <v>9</v>
      </c>
      <c r="E8" s="189"/>
      <c r="F8" s="189"/>
      <c r="G8" s="189"/>
      <c r="H8" s="189"/>
      <c r="I8" s="189"/>
      <c r="J8" s="189"/>
      <c r="K8" s="189"/>
      <c r="L8" s="189"/>
      <c r="M8" s="90"/>
      <c r="N8" s="90"/>
      <c r="O8" s="90"/>
      <c r="P8" s="90"/>
      <c r="Q8" s="90"/>
      <c r="Z8" s="37"/>
      <c r="AA8" s="37"/>
    </row>
    <row r="9" spans="1:30" s="13" customFormat="1" ht="15.75">
      <c r="A9" s="4" t="s">
        <v>258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Z9" s="37"/>
      <c r="AA9" s="37"/>
    </row>
    <row r="10" spans="1:30" s="13" customFormat="1" ht="15.75">
      <c r="A10" s="4" t="s">
        <v>70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Z10" s="37"/>
      <c r="AA10" s="37"/>
    </row>
    <row r="11" spans="1:30" s="38" customFormat="1" ht="42" customHeight="1">
      <c r="A11" s="174" t="s">
        <v>10</v>
      </c>
      <c r="B11" s="174" t="s">
        <v>11</v>
      </c>
      <c r="C11" s="174" t="s">
        <v>12</v>
      </c>
      <c r="D11" s="174" t="s">
        <v>13</v>
      </c>
      <c r="E11" s="174" t="s">
        <v>14</v>
      </c>
      <c r="F11" s="174" t="s">
        <v>15</v>
      </c>
      <c r="G11" s="174" t="s">
        <v>16</v>
      </c>
      <c r="H11" s="186" t="s">
        <v>17</v>
      </c>
      <c r="I11" s="186"/>
      <c r="J11" s="186" t="s">
        <v>18</v>
      </c>
      <c r="K11" s="186"/>
      <c r="L11" s="186" t="s">
        <v>19</v>
      </c>
      <c r="M11" s="186"/>
      <c r="N11" s="186"/>
      <c r="O11" s="186" t="s">
        <v>20</v>
      </c>
      <c r="P11" s="96"/>
      <c r="Q11" s="183" t="s">
        <v>102</v>
      </c>
      <c r="Z11" s="39"/>
      <c r="AA11" s="39"/>
    </row>
    <row r="12" spans="1:30" s="38" customFormat="1" ht="12.75">
      <c r="A12" s="181"/>
      <c r="B12" s="181"/>
      <c r="C12" s="181"/>
      <c r="D12" s="181"/>
      <c r="E12" s="181"/>
      <c r="F12" s="181"/>
      <c r="G12" s="181"/>
      <c r="H12" s="186" t="s">
        <v>21</v>
      </c>
      <c r="I12" s="186" t="s">
        <v>22</v>
      </c>
      <c r="J12" s="186" t="s">
        <v>23</v>
      </c>
      <c r="K12" s="186" t="s">
        <v>24</v>
      </c>
      <c r="L12" s="186" t="s">
        <v>25</v>
      </c>
      <c r="M12" s="186" t="s">
        <v>26</v>
      </c>
      <c r="N12" s="186" t="s">
        <v>27</v>
      </c>
      <c r="O12" s="186"/>
      <c r="P12" s="96"/>
      <c r="Q12" s="184"/>
      <c r="Z12" s="39"/>
      <c r="AA12" s="39"/>
    </row>
    <row r="13" spans="1:30" s="38" customFormat="1" ht="93" customHeight="1">
      <c r="A13" s="175"/>
      <c r="B13" s="175"/>
      <c r="C13" s="175"/>
      <c r="D13" s="175"/>
      <c r="E13" s="175"/>
      <c r="F13" s="175"/>
      <c r="G13" s="175"/>
      <c r="H13" s="186"/>
      <c r="I13" s="186"/>
      <c r="J13" s="186"/>
      <c r="K13" s="186"/>
      <c r="L13" s="186"/>
      <c r="M13" s="186"/>
      <c r="N13" s="186"/>
      <c r="O13" s="186"/>
      <c r="P13" s="96"/>
      <c r="Q13" s="185"/>
      <c r="V13" s="38" t="s">
        <v>387</v>
      </c>
      <c r="W13" s="38" t="s">
        <v>349</v>
      </c>
      <c r="X13" s="38" t="s">
        <v>230</v>
      </c>
      <c r="Z13" s="39" t="s">
        <v>388</v>
      </c>
      <c r="AA13" s="39" t="s">
        <v>427</v>
      </c>
      <c r="AB13" s="38" t="s">
        <v>451</v>
      </c>
    </row>
    <row r="14" spans="1:30" s="14" customFormat="1" ht="11.25">
      <c r="A14" s="97">
        <v>1</v>
      </c>
      <c r="B14" s="97">
        <v>1</v>
      </c>
      <c r="C14" s="97">
        <v>2</v>
      </c>
      <c r="D14" s="97">
        <v>3</v>
      </c>
      <c r="E14" s="97">
        <v>4</v>
      </c>
      <c r="F14" s="97">
        <v>5</v>
      </c>
      <c r="G14" s="97">
        <v>6</v>
      </c>
      <c r="H14" s="97">
        <v>7</v>
      </c>
      <c r="I14" s="97">
        <v>8</v>
      </c>
      <c r="J14" s="97">
        <v>9</v>
      </c>
      <c r="K14" s="97">
        <v>10</v>
      </c>
      <c r="L14" s="97">
        <v>11</v>
      </c>
      <c r="M14" s="97">
        <v>12</v>
      </c>
      <c r="N14" s="97">
        <v>13</v>
      </c>
      <c r="O14" s="98">
        <v>14</v>
      </c>
      <c r="P14" s="96"/>
      <c r="Q14" s="99"/>
      <c r="Z14" s="55"/>
      <c r="AA14" s="55"/>
    </row>
    <row r="15" spans="1:30" s="49" customFormat="1" ht="36.75" customHeight="1">
      <c r="A15" s="32">
        <v>1</v>
      </c>
      <c r="B15" s="32" t="s">
        <v>28</v>
      </c>
      <c r="C15" s="32" t="s">
        <v>400</v>
      </c>
      <c r="D15" s="32">
        <v>2005</v>
      </c>
      <c r="E15" s="32"/>
      <c r="F15" s="33">
        <v>4752.7</v>
      </c>
      <c r="G15" s="32">
        <v>6.66</v>
      </c>
      <c r="H15" s="33">
        <f>'ТСЖ 2 кв.2024г.'!H15-'ТСЖ 2 кв.2024г.'!I15+X15+V15+W15</f>
        <v>519323.35600000003</v>
      </c>
      <c r="I15" s="33">
        <f>Z15+AA15+X15+AB15</f>
        <v>196324.41999999998</v>
      </c>
      <c r="J15" s="33">
        <f>'ТСЖ 2 кв.2024г.'!J15+Z15+AA15+X15</f>
        <v>3216604.6000000006</v>
      </c>
      <c r="K15" s="33">
        <f>'ТСЖ 2 кв.2024г.'!K15+'ТСЖ 3 кв.2024г.'!I15</f>
        <v>2937693.0999999996</v>
      </c>
      <c r="L15" s="43"/>
      <c r="M15" s="66"/>
      <c r="N15" s="33">
        <f>'ТСЖ 2 кв.2024г.'!N15</f>
        <v>426357.21</v>
      </c>
      <c r="O15" s="105">
        <f>K15-N15</f>
        <v>2511335.8899999997</v>
      </c>
      <c r="P15" s="74">
        <v>520817.08</v>
      </c>
      <c r="Q15" s="46">
        <f>K15/J15*100</f>
        <v>91.329008856108672</v>
      </c>
      <c r="S15" s="48">
        <f>J15-K15+16536.37</f>
        <v>295447.87000000093</v>
      </c>
      <c r="T15" s="48">
        <f>H15-I15</f>
        <v>322998.93600000005</v>
      </c>
      <c r="V15" s="42">
        <v>94958.91</v>
      </c>
      <c r="W15" s="42">
        <v>6840.89</v>
      </c>
      <c r="X15" s="48">
        <v>2968.55</v>
      </c>
      <c r="Y15" s="48"/>
      <c r="Z15" s="48">
        <v>174758.24</v>
      </c>
      <c r="AA15" s="48">
        <v>18597.63</v>
      </c>
    </row>
    <row r="16" spans="1:30" s="49" customFormat="1" ht="51" customHeight="1">
      <c r="A16" s="32">
        <v>1</v>
      </c>
      <c r="B16" s="32" t="s">
        <v>28</v>
      </c>
      <c r="C16" s="32" t="s">
        <v>401</v>
      </c>
      <c r="D16" s="32">
        <v>2005</v>
      </c>
      <c r="E16" s="32"/>
      <c r="F16" s="33">
        <v>1908.8</v>
      </c>
      <c r="G16" s="32">
        <v>6.66</v>
      </c>
      <c r="H16" s="33">
        <f>'ТСЖ 2 кв.2024г.'!H16-'ТСЖ 2 кв.2024г.'!I16+X16+V16+W16</f>
        <v>103706.62999999996</v>
      </c>
      <c r="I16" s="33">
        <f t="shared" ref="I16:I29" si="0">Z16+AA16+X16+AB16</f>
        <v>36927.71</v>
      </c>
      <c r="J16" s="33">
        <f>'ТСЖ 2 кв.2024г.'!J16+Z16+AA16+X16</f>
        <v>1300509.1800000004</v>
      </c>
      <c r="K16" s="33">
        <f>'ТСЖ 2 кв.2024г.'!K16+'ТСЖ 3 кв.2024г.'!I16</f>
        <v>1215802.83</v>
      </c>
      <c r="L16" s="43"/>
      <c r="M16" s="66"/>
      <c r="N16" s="33">
        <f>'ТСЖ 2 кв.2024г.'!N16</f>
        <v>221688.82</v>
      </c>
      <c r="O16" s="105">
        <f t="shared" ref="O16:O29" si="1">K16-N16</f>
        <v>994114.01</v>
      </c>
      <c r="P16" s="78">
        <v>264064.82</v>
      </c>
      <c r="Q16" s="46">
        <f>K16/J16*100</f>
        <v>93.48667804098082</v>
      </c>
      <c r="S16" s="48">
        <f t="shared" ref="S16:S29" si="2">J16-K16+X16</f>
        <v>84706.350000000326</v>
      </c>
      <c r="T16" s="48">
        <f t="shared" ref="T16:T29" si="3">H16-I16</f>
        <v>66778.919999999955</v>
      </c>
      <c r="V16" s="124">
        <v>38137.86</v>
      </c>
      <c r="W16" s="124">
        <v>1255.42</v>
      </c>
      <c r="X16" s="125"/>
      <c r="Y16" s="125"/>
      <c r="Z16" s="124">
        <v>36925.519999999997</v>
      </c>
      <c r="AA16" s="124">
        <v>2.19</v>
      </c>
      <c r="AB16" s="48"/>
      <c r="AC16" s="49">
        <f>F16*G16*3</f>
        <v>38137.824000000001</v>
      </c>
      <c r="AD16" s="48">
        <f>V16-AC16</f>
        <v>3.6000000000058208E-2</v>
      </c>
    </row>
    <row r="17" spans="1:30" s="49" customFormat="1" ht="39.75" customHeight="1">
      <c r="A17" s="32">
        <v>1</v>
      </c>
      <c r="B17" s="138" t="s">
        <v>28</v>
      </c>
      <c r="C17" s="138" t="s">
        <v>402</v>
      </c>
      <c r="D17" s="138">
        <v>2002</v>
      </c>
      <c r="E17" s="138"/>
      <c r="F17" s="140">
        <v>1947.3</v>
      </c>
      <c r="G17" s="138">
        <v>6.66</v>
      </c>
      <c r="H17" s="33">
        <f>'ТСЖ 2 кв.2024г.'!H17-'ТСЖ 2 кв.2024г.'!I17+X17+V17+W17</f>
        <v>202537.39000000013</v>
      </c>
      <c r="I17" s="33">
        <f t="shared" si="0"/>
        <v>41638</v>
      </c>
      <c r="J17" s="33">
        <f>'ТСЖ 2 кв.2024г.'!J17+Z17+AA17+X17</f>
        <v>1294103.409999999</v>
      </c>
      <c r="K17" s="33">
        <f>'ТСЖ 2 кв.2024г.'!K17+'ТСЖ 3 кв.2024г.'!I17</f>
        <v>1150570.47</v>
      </c>
      <c r="L17" s="43"/>
      <c r="M17" s="66"/>
      <c r="N17" s="33">
        <f>'ТСЖ 2 кв.2024г.'!N17</f>
        <v>476040</v>
      </c>
      <c r="O17" s="105">
        <f t="shared" si="1"/>
        <v>674530.47</v>
      </c>
      <c r="P17" s="74">
        <v>253163.82</v>
      </c>
      <c r="Q17" s="141">
        <f>K17/J17*100</f>
        <v>88.908696253261624</v>
      </c>
      <c r="S17" s="48">
        <f t="shared" si="2"/>
        <v>143532.93999999901</v>
      </c>
      <c r="T17" s="48">
        <f t="shared" si="3"/>
        <v>160899.39000000013</v>
      </c>
      <c r="V17" s="124">
        <v>38907.06</v>
      </c>
      <c r="W17" s="124">
        <v>2967.31</v>
      </c>
      <c r="X17" s="125"/>
      <c r="Y17" s="125"/>
      <c r="Z17" s="124">
        <v>40337.74</v>
      </c>
      <c r="AA17" s="124">
        <v>1300.26</v>
      </c>
      <c r="AB17" s="48"/>
      <c r="AC17" s="49">
        <f t="shared" ref="AC17:AC29" si="4">F17*G17*3</f>
        <v>38907.054000000004</v>
      </c>
      <c r="AD17" s="48">
        <f t="shared" ref="AD17:AD29" si="5">V17-AC17</f>
        <v>5.9999999939464033E-3</v>
      </c>
    </row>
    <row r="18" spans="1:30" s="49" customFormat="1" ht="63.75" customHeight="1" thickBot="1">
      <c r="A18" s="32">
        <v>1</v>
      </c>
      <c r="B18" s="138" t="s">
        <v>28</v>
      </c>
      <c r="C18" s="138" t="s">
        <v>403</v>
      </c>
      <c r="D18" s="138">
        <v>2003</v>
      </c>
      <c r="E18" s="138"/>
      <c r="F18" s="140">
        <v>2990</v>
      </c>
      <c r="G18" s="138">
        <v>6.66</v>
      </c>
      <c r="H18" s="33">
        <f>'ТСЖ 2 кв.2024г.'!H18-'ТСЖ 2 кв.2024г.'!I18+X18+V18+W18</f>
        <v>277591.69000000006</v>
      </c>
      <c r="I18" s="33">
        <f t="shared" si="0"/>
        <v>47101.71</v>
      </c>
      <c r="J18" s="33">
        <f>'ТСЖ 2 кв.2024г.'!J18+Z18+AA18+X18</f>
        <v>1942971.8499999989</v>
      </c>
      <c r="K18" s="33">
        <f>'ТСЖ 2 кв.2024г.'!K18+'ТСЖ 3 кв.2024г.'!I18</f>
        <v>1793245.43</v>
      </c>
      <c r="L18" s="43"/>
      <c r="M18" s="66"/>
      <c r="N18" s="33">
        <f>'ТСЖ 2 кв.2024г.'!N18</f>
        <v>731630</v>
      </c>
      <c r="O18" s="105">
        <f t="shared" si="1"/>
        <v>1061615.43</v>
      </c>
      <c r="P18" s="44">
        <v>378042.71</v>
      </c>
      <c r="Q18" s="141">
        <f t="shared" ref="Q18:Q28" si="6">K18/J18*100</f>
        <v>92.293948056941787</v>
      </c>
      <c r="S18" s="48">
        <f t="shared" si="2"/>
        <v>151013.36999999901</v>
      </c>
      <c r="T18" s="48">
        <f t="shared" si="3"/>
        <v>230489.98000000007</v>
      </c>
      <c r="V18" s="124">
        <v>59740.32</v>
      </c>
      <c r="W18" s="124">
        <v>3863.93</v>
      </c>
      <c r="X18" s="125">
        <v>1286.95</v>
      </c>
      <c r="Y18" s="125"/>
      <c r="Z18" s="124">
        <v>45783.91</v>
      </c>
      <c r="AA18" s="124">
        <v>30.85</v>
      </c>
      <c r="AB18" s="48"/>
      <c r="AC18" s="49">
        <f t="shared" si="4"/>
        <v>59740.200000000004</v>
      </c>
      <c r="AD18" s="48">
        <f t="shared" si="5"/>
        <v>0.11999999999534339</v>
      </c>
    </row>
    <row r="19" spans="1:30" s="92" customFormat="1" ht="39.75" customHeight="1" thickBot="1">
      <c r="A19" s="32">
        <v>1</v>
      </c>
      <c r="B19" s="32" t="s">
        <v>28</v>
      </c>
      <c r="C19" s="32" t="s">
        <v>404</v>
      </c>
      <c r="D19" s="32">
        <v>2004</v>
      </c>
      <c r="E19" s="32"/>
      <c r="F19" s="33">
        <v>1698.6</v>
      </c>
      <c r="G19" s="32">
        <v>6.66</v>
      </c>
      <c r="H19" s="33">
        <f>'ТСЖ 2 кв.2024г.'!H19-'ТСЖ 2 кв.2024г.'!I19+X19+V19+W19</f>
        <v>90130.73000000001</v>
      </c>
      <c r="I19" s="33">
        <f t="shared" si="0"/>
        <v>27066.63</v>
      </c>
      <c r="J19" s="33">
        <f>'ТСЖ 2 кв.2024г.'!J19+Z19+AA19+X19</f>
        <v>1219820.5200000003</v>
      </c>
      <c r="K19" s="33">
        <f>'ТСЖ 2 кв.2024г.'!K19+'ТСЖ 3 кв.2024г.'!I19</f>
        <v>1078085.79</v>
      </c>
      <c r="L19" s="43"/>
      <c r="M19" s="66"/>
      <c r="N19" s="33">
        <f>'ТСЖ 2 кв.2024г.'!N19</f>
        <v>230810</v>
      </c>
      <c r="O19" s="105">
        <f t="shared" si="1"/>
        <v>847275.79</v>
      </c>
      <c r="P19" s="44">
        <v>252978.03</v>
      </c>
      <c r="Q19" s="46">
        <f>K19/J19*100</f>
        <v>88.380689808366213</v>
      </c>
      <c r="S19" s="93">
        <f t="shared" si="2"/>
        <v>141734.73000000021</v>
      </c>
      <c r="T19" s="93">
        <f t="shared" si="3"/>
        <v>63064.100000000006</v>
      </c>
      <c r="V19" s="124">
        <v>33938.01</v>
      </c>
      <c r="W19" s="124">
        <v>1069.72</v>
      </c>
      <c r="X19" s="126"/>
      <c r="Y19" s="126"/>
      <c r="Z19" s="124">
        <v>26752.55</v>
      </c>
      <c r="AA19" s="124">
        <v>7.72</v>
      </c>
      <c r="AB19" s="48">
        <v>306.36</v>
      </c>
      <c r="AC19" s="49">
        <f t="shared" si="4"/>
        <v>33938.027999999998</v>
      </c>
      <c r="AD19" s="48">
        <f t="shared" si="5"/>
        <v>-1.7999999996391125E-2</v>
      </c>
    </row>
    <row r="20" spans="1:30" s="92" customFormat="1" ht="72.75" customHeight="1">
      <c r="A20" s="32">
        <v>1</v>
      </c>
      <c r="B20" s="32" t="s">
        <v>28</v>
      </c>
      <c r="C20" s="32" t="s">
        <v>390</v>
      </c>
      <c r="D20" s="32">
        <v>2006</v>
      </c>
      <c r="E20" s="32"/>
      <c r="F20" s="33">
        <v>1189</v>
      </c>
      <c r="G20" s="32">
        <v>6.66</v>
      </c>
      <c r="H20" s="33">
        <f>'ТСЖ 2 кв.2024г.'!H20-'ТСЖ 2 кв.2024г.'!I20+X20+V20+W20</f>
        <v>108916.13</v>
      </c>
      <c r="I20" s="33">
        <f t="shared" si="0"/>
        <v>22765.040000000001</v>
      </c>
      <c r="J20" s="33">
        <f>'ТСЖ 2 кв.2024г.'!J20+Z20+AA20+X20</f>
        <v>750134.32</v>
      </c>
      <c r="K20" s="33">
        <f>'ТСЖ 2 кв.2024г.'!K20+'ТСЖ 3 кв.2024г.'!I20</f>
        <v>713128.86999999988</v>
      </c>
      <c r="L20" s="43"/>
      <c r="M20" s="66"/>
      <c r="N20" s="33">
        <f>'ТСЖ 2 кв.2024г.'!N20</f>
        <v>208003.99</v>
      </c>
      <c r="O20" s="105">
        <f t="shared" si="1"/>
        <v>505124.87999999989</v>
      </c>
      <c r="P20" s="74">
        <v>124839.69</v>
      </c>
      <c r="Q20" s="46">
        <f t="shared" si="6"/>
        <v>95.066823499023471</v>
      </c>
      <c r="S20" s="93">
        <f t="shared" si="2"/>
        <v>37005.45000000007</v>
      </c>
      <c r="T20" s="93">
        <f t="shared" si="3"/>
        <v>86151.09</v>
      </c>
      <c r="V20" s="124">
        <v>23756.19</v>
      </c>
      <c r="W20" s="124">
        <v>1333.27</v>
      </c>
      <c r="X20" s="126"/>
      <c r="Y20" s="126"/>
      <c r="Z20" s="124">
        <v>22765.040000000001</v>
      </c>
      <c r="AA20" s="124"/>
      <c r="AB20" s="48"/>
      <c r="AC20" s="49">
        <f t="shared" si="4"/>
        <v>23756.22</v>
      </c>
      <c r="AD20" s="48">
        <f t="shared" si="5"/>
        <v>-3.0000000002473826E-2</v>
      </c>
    </row>
    <row r="21" spans="1:30" s="92" customFormat="1" ht="52.5" customHeight="1" thickBot="1">
      <c r="A21" s="32">
        <v>1</v>
      </c>
      <c r="B21" s="138" t="s">
        <v>28</v>
      </c>
      <c r="C21" s="138" t="s">
        <v>391</v>
      </c>
      <c r="D21" s="138">
        <v>2012</v>
      </c>
      <c r="E21" s="138"/>
      <c r="F21" s="140">
        <v>2427.8000000000002</v>
      </c>
      <c r="G21" s="138">
        <v>6.66</v>
      </c>
      <c r="H21" s="33">
        <f>'ТСЖ 2 кв.2024г.'!H21-'ТСЖ 2 кв.2024г.'!I21+X21+V21+W21</f>
        <v>190732.91999999998</v>
      </c>
      <c r="I21" s="33">
        <f t="shared" si="0"/>
        <v>45550.700000000004</v>
      </c>
      <c r="J21" s="33">
        <f>'ТСЖ 2 кв.2024г.'!J21+Z21+AA21+X21</f>
        <v>1579357.42</v>
      </c>
      <c r="K21" s="33">
        <f>'ТСЖ 2 кв.2024г.'!K21+'ТСЖ 3 кв.2024г.'!I21</f>
        <v>1479420.68</v>
      </c>
      <c r="L21" s="43"/>
      <c r="M21" s="66"/>
      <c r="N21" s="33">
        <f>'ТСЖ 2 кв.2024г.'!N21</f>
        <v>0</v>
      </c>
      <c r="O21" s="105">
        <f t="shared" si="1"/>
        <v>1479420.68</v>
      </c>
      <c r="P21" s="44">
        <v>388089.32</v>
      </c>
      <c r="Q21" s="141">
        <f t="shared" si="6"/>
        <v>93.67231642853838</v>
      </c>
      <c r="S21" s="93">
        <f t="shared" si="2"/>
        <v>99936.739999999991</v>
      </c>
      <c r="T21" s="93">
        <f t="shared" si="3"/>
        <v>145182.21999999997</v>
      </c>
      <c r="V21" s="124">
        <f>48507.39</f>
        <v>48507.39</v>
      </c>
      <c r="W21" s="124">
        <v>2316.13</v>
      </c>
      <c r="X21" s="126"/>
      <c r="Y21" s="126"/>
      <c r="Z21" s="124">
        <v>45525.37</v>
      </c>
      <c r="AA21" s="124">
        <v>25.33</v>
      </c>
      <c r="AB21" s="48"/>
      <c r="AC21" s="49">
        <f t="shared" si="4"/>
        <v>48507.444000000003</v>
      </c>
      <c r="AD21" s="48">
        <f t="shared" si="5"/>
        <v>-5.400000000372529E-2</v>
      </c>
    </row>
    <row r="22" spans="1:30" s="92" customFormat="1" ht="72" customHeight="1">
      <c r="A22" s="32">
        <v>1</v>
      </c>
      <c r="B22" s="32" t="s">
        <v>28</v>
      </c>
      <c r="C22" s="32" t="s">
        <v>392</v>
      </c>
      <c r="D22" s="32">
        <v>1997</v>
      </c>
      <c r="E22" s="32"/>
      <c r="F22" s="32">
        <v>2077.9</v>
      </c>
      <c r="G22" s="32">
        <v>6.66</v>
      </c>
      <c r="H22" s="33">
        <f>'ТСЖ 2 кв.2024г.'!H22-'ТСЖ 2 кв.2024г.'!I22+X22+V22+W22</f>
        <v>104735.86000000006</v>
      </c>
      <c r="I22" s="33">
        <f t="shared" si="0"/>
        <v>38404.89</v>
      </c>
      <c r="J22" s="33">
        <f>'ТСЖ 2 кв.2024г.'!J22+Z22+AA22+X22</f>
        <v>1391522.9400000002</v>
      </c>
      <c r="K22" s="33">
        <f>'ТСЖ 2 кв.2024г.'!K22+'ТСЖ 3 кв.2024г.'!I22</f>
        <v>1329675.92</v>
      </c>
      <c r="L22" s="43"/>
      <c r="M22" s="66"/>
      <c r="N22" s="33">
        <f>'ТСЖ 2 кв.2024г.'!N22</f>
        <v>454457.47</v>
      </c>
      <c r="O22" s="105">
        <f t="shared" si="1"/>
        <v>875218.45</v>
      </c>
      <c r="P22" s="74">
        <v>223464.31</v>
      </c>
      <c r="Q22" s="46">
        <f>K22/J22*100</f>
        <v>95.555443735623911</v>
      </c>
      <c r="S22" s="93">
        <f t="shared" si="2"/>
        <v>61847.020000000251</v>
      </c>
      <c r="T22" s="93">
        <f t="shared" si="3"/>
        <v>66330.970000000059</v>
      </c>
      <c r="V22" s="124">
        <v>41516.519999999997</v>
      </c>
      <c r="W22" s="124">
        <v>1148.3</v>
      </c>
      <c r="X22" s="126"/>
      <c r="Y22" s="126"/>
      <c r="Z22" s="124">
        <v>38382.15</v>
      </c>
      <c r="AA22" s="124">
        <v>22.74</v>
      </c>
      <c r="AB22" s="48"/>
      <c r="AC22" s="49">
        <f t="shared" si="4"/>
        <v>41516.442000000003</v>
      </c>
      <c r="AD22" s="48">
        <f t="shared" si="5"/>
        <v>7.7999999994062819E-2</v>
      </c>
    </row>
    <row r="23" spans="1:30" s="92" customFormat="1" ht="66.75" customHeight="1">
      <c r="A23" s="32">
        <v>1</v>
      </c>
      <c r="B23" s="32" t="s">
        <v>28</v>
      </c>
      <c r="C23" s="32" t="s">
        <v>393</v>
      </c>
      <c r="D23" s="32">
        <v>1998</v>
      </c>
      <c r="E23" s="32"/>
      <c r="F23" s="33">
        <v>2086.5</v>
      </c>
      <c r="G23" s="32">
        <v>6.66</v>
      </c>
      <c r="H23" s="33">
        <f>'ТСЖ 2 кв.2024г.'!H23-'ТСЖ 2 кв.2024г.'!I23+X23+V23+W23</f>
        <v>60468.37</v>
      </c>
      <c r="I23" s="33">
        <f t="shared" si="0"/>
        <v>40400.68</v>
      </c>
      <c r="J23" s="33">
        <f>'ТСЖ 2 кв.2024г.'!J23+Z23+AA23+X23</f>
        <v>1372259.3199999996</v>
      </c>
      <c r="K23" s="33">
        <f>'ТСЖ 2 кв.2024г.'!K23+'ТСЖ 3 кв.2024г.'!I23</f>
        <v>1368323.81</v>
      </c>
      <c r="L23" s="43"/>
      <c r="M23" s="66"/>
      <c r="N23" s="33">
        <f>'ТСЖ 2 кв.2024г.'!N23</f>
        <v>435700.47000000003</v>
      </c>
      <c r="O23" s="105">
        <f t="shared" si="1"/>
        <v>932623.34000000008</v>
      </c>
      <c r="P23" s="78">
        <v>243907.98</v>
      </c>
      <c r="Q23" s="46">
        <f t="shared" si="6"/>
        <v>99.713209453735061</v>
      </c>
      <c r="S23" s="93">
        <f t="shared" si="2"/>
        <v>3935.5099999995437</v>
      </c>
      <c r="T23" s="93">
        <f t="shared" si="3"/>
        <v>20067.690000000002</v>
      </c>
      <c r="V23" s="124">
        <v>41688.239999999998</v>
      </c>
      <c r="W23" s="124">
        <v>283.08999999999997</v>
      </c>
      <c r="X23" s="126"/>
      <c r="Y23" s="126"/>
      <c r="Z23" s="124">
        <v>40358.910000000003</v>
      </c>
      <c r="AA23" s="124">
        <v>41.77</v>
      </c>
      <c r="AB23" s="48"/>
      <c r="AC23" s="49">
        <f t="shared" si="4"/>
        <v>41688.270000000004</v>
      </c>
      <c r="AD23" s="48">
        <f t="shared" si="5"/>
        <v>-3.0000000006111804E-2</v>
      </c>
    </row>
    <row r="24" spans="1:30" s="92" customFormat="1" ht="30.75" thickBot="1">
      <c r="A24" s="32">
        <v>1</v>
      </c>
      <c r="B24" s="138" t="s">
        <v>28</v>
      </c>
      <c r="C24" s="138" t="s">
        <v>394</v>
      </c>
      <c r="D24" s="138">
        <v>1996</v>
      </c>
      <c r="E24" s="138"/>
      <c r="F24" s="140">
        <v>2824.4</v>
      </c>
      <c r="G24" s="138">
        <v>6.66</v>
      </c>
      <c r="H24" s="33">
        <f>'ТСЖ 2 кв.2024г.'!H24-'ТСЖ 2 кв.2024г.'!I24+X24+V24+W24</f>
        <v>301652.65000000002</v>
      </c>
      <c r="I24" s="33">
        <f t="shared" si="0"/>
        <v>99904.840000000011</v>
      </c>
      <c r="J24" s="33">
        <f>'ТСЖ 2 кв.2024г.'!J24+Z24+AA24+X24</f>
        <v>1943800.9100000006</v>
      </c>
      <c r="K24" s="33">
        <f>'ТСЖ 2 кв.2024г.'!K24+'ТСЖ 3 кв.2024г.'!I24</f>
        <v>1733376.8500000003</v>
      </c>
      <c r="L24" s="43"/>
      <c r="M24" s="66"/>
      <c r="N24" s="33">
        <f>'ТСЖ 2 кв.2024г.'!N24</f>
        <v>124391</v>
      </c>
      <c r="O24" s="105">
        <f t="shared" si="1"/>
        <v>1608985.8500000003</v>
      </c>
      <c r="P24" s="44">
        <v>420551</v>
      </c>
      <c r="Q24" s="141">
        <f>K24/J24*100</f>
        <v>89.174608422217474</v>
      </c>
      <c r="S24" s="93">
        <f>J24-K24+3064.16</f>
        <v>213488.22000000029</v>
      </c>
      <c r="T24" s="93">
        <f t="shared" si="3"/>
        <v>201747.81</v>
      </c>
      <c r="U24" s="128">
        <v>1771.81</v>
      </c>
      <c r="V24" s="124">
        <f>56431.5</f>
        <v>56431.5</v>
      </c>
      <c r="W24" s="124">
        <v>4139.8900000000003</v>
      </c>
      <c r="X24" s="126">
        <v>1927.71</v>
      </c>
      <c r="Y24" s="126"/>
      <c r="Z24" s="124">
        <f>66391.05+25482.67</f>
        <v>91873.72</v>
      </c>
      <c r="AA24" s="124">
        <v>6103.41</v>
      </c>
      <c r="AB24" s="48"/>
      <c r="AC24" s="49">
        <f t="shared" si="4"/>
        <v>56431.512000000002</v>
      </c>
      <c r="AD24" s="48">
        <f t="shared" si="5"/>
        <v>-1.2000000002444722E-2</v>
      </c>
    </row>
    <row r="25" spans="1:30" s="92" customFormat="1" ht="39" customHeight="1" thickBot="1">
      <c r="A25" s="32">
        <v>1</v>
      </c>
      <c r="B25" s="32" t="s">
        <v>37</v>
      </c>
      <c r="C25" s="32" t="s">
        <v>395</v>
      </c>
      <c r="D25" s="32">
        <v>2006</v>
      </c>
      <c r="E25" s="32"/>
      <c r="F25" s="33">
        <v>1135</v>
      </c>
      <c r="G25" s="32">
        <v>6.66</v>
      </c>
      <c r="H25" s="33">
        <f>'ТСЖ 2 кв.2024г.'!H25-'ТСЖ 2 кв.2024г.'!I25+X25+V25+W25</f>
        <v>69102.02</v>
      </c>
      <c r="I25" s="33">
        <f t="shared" si="0"/>
        <v>20248.969999999998</v>
      </c>
      <c r="J25" s="33">
        <f>'ТСЖ 2 кв.2024г.'!J25+Z25+AA25+X25</f>
        <v>747646.60000000009</v>
      </c>
      <c r="K25" s="33">
        <f>'ТСЖ 2 кв.2024г.'!K25+'ТСЖ 3 кв.2024г.'!I25</f>
        <v>712705.74000000011</v>
      </c>
      <c r="L25" s="43"/>
      <c r="M25" s="66"/>
      <c r="N25" s="33">
        <f>'ТСЖ 2 кв.2024г.'!N25</f>
        <v>248930</v>
      </c>
      <c r="O25" s="105">
        <f t="shared" si="1"/>
        <v>463775.74000000011</v>
      </c>
      <c r="P25" s="44">
        <v>146097.04999999999</v>
      </c>
      <c r="Q25" s="46">
        <f t="shared" si="6"/>
        <v>95.326554016295944</v>
      </c>
      <c r="S25" s="93">
        <f t="shared" si="2"/>
        <v>34940.859999999986</v>
      </c>
      <c r="T25" s="93">
        <f t="shared" si="3"/>
        <v>48853.05</v>
      </c>
      <c r="U25" s="93"/>
      <c r="V25" s="124">
        <v>22677.27</v>
      </c>
      <c r="W25" s="124">
        <v>937.06</v>
      </c>
      <c r="X25" s="126"/>
      <c r="Y25" s="126"/>
      <c r="Z25" s="124">
        <v>20242.71</v>
      </c>
      <c r="AA25" s="124">
        <v>6.26</v>
      </c>
      <c r="AB25" s="48"/>
      <c r="AC25" s="49">
        <f t="shared" si="4"/>
        <v>22677.300000000003</v>
      </c>
      <c r="AD25" s="48">
        <f t="shared" si="5"/>
        <v>-3.0000000002473826E-2</v>
      </c>
    </row>
    <row r="26" spans="1:30" s="92" customFormat="1" ht="51" customHeight="1" thickBot="1">
      <c r="A26" s="32">
        <v>1</v>
      </c>
      <c r="B26" s="32" t="s">
        <v>37</v>
      </c>
      <c r="C26" s="32" t="s">
        <v>396</v>
      </c>
      <c r="D26" s="32">
        <v>2002</v>
      </c>
      <c r="E26" s="32"/>
      <c r="F26" s="33">
        <v>2119.3000000000002</v>
      </c>
      <c r="G26" s="32">
        <v>6.66</v>
      </c>
      <c r="H26" s="33">
        <f>'ТСЖ 2 кв.2024г.'!H26-'ТСЖ 2 кв.2024г.'!I26+X26+V26+W26</f>
        <v>247201.00999999983</v>
      </c>
      <c r="I26" s="33">
        <f t="shared" si="0"/>
        <v>33642.939999999995</v>
      </c>
      <c r="J26" s="33">
        <f>'ТСЖ 2 кв.2024г.'!J26+Z26+AA26+X26</f>
        <v>1370651.08</v>
      </c>
      <c r="K26" s="33">
        <f>'ТСЖ 2 кв.2024г.'!K26+'ТСЖ 3 кв.2024г.'!I26</f>
        <v>1227420.22</v>
      </c>
      <c r="L26" s="43"/>
      <c r="M26" s="66"/>
      <c r="N26" s="33">
        <f>'ТСЖ 2 кв.2024г.'!N26</f>
        <v>532320</v>
      </c>
      <c r="O26" s="105">
        <f t="shared" si="1"/>
        <v>695100.22</v>
      </c>
      <c r="P26" s="44">
        <v>235115.53</v>
      </c>
      <c r="Q26" s="46">
        <f>K26/J26*100</f>
        <v>89.550158892371059</v>
      </c>
      <c r="S26" s="93">
        <f t="shared" si="2"/>
        <v>143230.8600000001</v>
      </c>
      <c r="T26" s="93">
        <f t="shared" si="3"/>
        <v>213558.06999999983</v>
      </c>
      <c r="V26" s="124">
        <v>42343.68</v>
      </c>
      <c r="W26" s="124">
        <v>4008.74</v>
      </c>
      <c r="X26" s="126"/>
      <c r="Y26" s="126"/>
      <c r="Z26" s="124">
        <v>33407.49</v>
      </c>
      <c r="AA26" s="124">
        <v>235.45</v>
      </c>
      <c r="AB26" s="48"/>
      <c r="AC26" s="49">
        <f t="shared" si="4"/>
        <v>42343.614000000009</v>
      </c>
      <c r="AD26" s="48">
        <f t="shared" si="5"/>
        <v>6.5999999991618097E-2</v>
      </c>
    </row>
    <row r="27" spans="1:30" s="92" customFormat="1" ht="51.75" customHeight="1" thickBot="1">
      <c r="A27" s="32">
        <v>1</v>
      </c>
      <c r="B27" s="32" t="s">
        <v>28</v>
      </c>
      <c r="C27" s="32" t="s">
        <v>397</v>
      </c>
      <c r="D27" s="32">
        <v>2001</v>
      </c>
      <c r="E27" s="32"/>
      <c r="F27" s="33">
        <v>2094.5</v>
      </c>
      <c r="G27" s="32">
        <v>6.66</v>
      </c>
      <c r="H27" s="33">
        <f>'ТСЖ 2 кв.2024г.'!H27-'ТСЖ 2 кв.2024г.'!I27+X27+V27+W27</f>
        <v>211855.43</v>
      </c>
      <c r="I27" s="33">
        <f t="shared" si="0"/>
        <v>30127.99</v>
      </c>
      <c r="J27" s="33">
        <f>'ТСЖ 2 кв.2024г.'!J27+Z27+AA27+X27</f>
        <v>1369217.2100000002</v>
      </c>
      <c r="K27" s="33">
        <f>'ТСЖ 2 кв.2024г.'!K27+'ТСЖ 3 кв.2024г.'!I27</f>
        <v>1236874.4000000001</v>
      </c>
      <c r="L27" s="43"/>
      <c r="M27" s="66"/>
      <c r="N27" s="33">
        <f>'ТСЖ 2 кв.2024г.'!N27</f>
        <v>475020</v>
      </c>
      <c r="O27" s="105">
        <f t="shared" si="1"/>
        <v>761854.40000000014</v>
      </c>
      <c r="P27" s="44">
        <v>287247.24</v>
      </c>
      <c r="Q27" s="46">
        <f>K27/J27*100</f>
        <v>90.334418159993774</v>
      </c>
      <c r="S27" s="93">
        <f t="shared" si="2"/>
        <v>132342.81000000006</v>
      </c>
      <c r="T27" s="93">
        <f t="shared" si="3"/>
        <v>181727.44</v>
      </c>
      <c r="V27" s="124">
        <v>41848.11</v>
      </c>
      <c r="W27" s="124">
        <v>2960.89</v>
      </c>
      <c r="X27" s="126"/>
      <c r="Y27" s="126"/>
      <c r="Z27" s="124">
        <v>30115.18</v>
      </c>
      <c r="AA27" s="124">
        <v>12.81</v>
      </c>
      <c r="AB27" s="48"/>
      <c r="AC27" s="49">
        <f t="shared" si="4"/>
        <v>41848.11</v>
      </c>
      <c r="AD27" s="48">
        <f t="shared" si="5"/>
        <v>0</v>
      </c>
    </row>
    <row r="28" spans="1:30" s="92" customFormat="1" ht="51" customHeight="1" thickBot="1">
      <c r="A28" s="32">
        <v>1</v>
      </c>
      <c r="B28" s="32" t="s">
        <v>28</v>
      </c>
      <c r="C28" s="32" t="s">
        <v>398</v>
      </c>
      <c r="D28" s="32">
        <v>2000</v>
      </c>
      <c r="E28" s="32"/>
      <c r="F28" s="33">
        <v>3225.6</v>
      </c>
      <c r="G28" s="32">
        <v>6.66</v>
      </c>
      <c r="H28" s="33">
        <f>'ТСЖ 2 кв.2024г.'!H28-'ТСЖ 2 кв.2024г.'!I28+X28+V28+W28</f>
        <v>182664.62000000005</v>
      </c>
      <c r="I28" s="33">
        <f t="shared" si="0"/>
        <v>70841</v>
      </c>
      <c r="J28" s="33">
        <f>'ТСЖ 2 кв.2024г.'!J28+Z28+AA28+X28</f>
        <v>2159377.9000000004</v>
      </c>
      <c r="K28" s="33">
        <f>'ТСЖ 2 кв.2024г.'!K28+'ТСЖ 3 кв.2024г.'!I28</f>
        <v>2040618.5899999994</v>
      </c>
      <c r="L28" s="43"/>
      <c r="M28" s="66"/>
      <c r="N28" s="33">
        <f>'ТСЖ 2 кв.2024г.'!N28</f>
        <v>774822</v>
      </c>
      <c r="O28" s="105">
        <f t="shared" si="1"/>
        <v>1265796.5899999994</v>
      </c>
      <c r="P28" s="44">
        <v>354498.41</v>
      </c>
      <c r="Q28" s="46">
        <f t="shared" si="6"/>
        <v>94.500299831724647</v>
      </c>
      <c r="S28" s="93">
        <f t="shared" si="2"/>
        <v>120282.07000000098</v>
      </c>
      <c r="T28" s="93">
        <f t="shared" si="3"/>
        <v>111823.62000000005</v>
      </c>
      <c r="U28" s="127">
        <v>1296.3699999999999</v>
      </c>
      <c r="V28" s="124">
        <v>64447.44</v>
      </c>
      <c r="W28" s="124">
        <v>3423.88</v>
      </c>
      <c r="X28" s="126">
        <v>1522.76</v>
      </c>
      <c r="Y28" s="126"/>
      <c r="Z28" s="124">
        <v>68168.5</v>
      </c>
      <c r="AA28" s="124">
        <v>1149.74</v>
      </c>
      <c r="AB28" s="48"/>
      <c r="AC28" s="49">
        <f t="shared" si="4"/>
        <v>64447.487999999998</v>
      </c>
      <c r="AD28" s="48">
        <f t="shared" si="5"/>
        <v>-4.7999999995226972E-2</v>
      </c>
    </row>
    <row r="29" spans="1:30" s="49" customFormat="1" ht="45" customHeight="1" thickBot="1">
      <c r="A29" s="32">
        <v>1</v>
      </c>
      <c r="B29" s="32" t="s">
        <v>28</v>
      </c>
      <c r="C29" s="32" t="s">
        <v>399</v>
      </c>
      <c r="D29" s="32">
        <v>1999</v>
      </c>
      <c r="E29" s="32"/>
      <c r="F29" s="33">
        <v>2135.5</v>
      </c>
      <c r="G29" s="32">
        <v>6.66</v>
      </c>
      <c r="H29" s="33">
        <f>'ТСЖ 2 кв.2024г.'!H29-'ТСЖ 2 кв.2024г.'!I29+X29+V29+W29</f>
        <v>206007.9599999999</v>
      </c>
      <c r="I29" s="33">
        <f t="shared" si="0"/>
        <v>33217.699999999997</v>
      </c>
      <c r="J29" s="33">
        <f>'ТСЖ 2 кв.2024г.'!J29+Z29+AA29+X29</f>
        <v>1399009.2099999995</v>
      </c>
      <c r="K29" s="33">
        <f>'ТСЖ 2 кв.2024г.'!K29+'ТСЖ 3 кв.2024г.'!I29</f>
        <v>1273514.3500000001</v>
      </c>
      <c r="L29" s="43"/>
      <c r="M29" s="66"/>
      <c r="N29" s="33">
        <f>'ТСЖ 2 кв.2024г.'!N29</f>
        <v>721587</v>
      </c>
      <c r="O29" s="105">
        <f t="shared" si="1"/>
        <v>551927.35000000009</v>
      </c>
      <c r="P29" s="44">
        <v>309141.18</v>
      </c>
      <c r="Q29" s="46">
        <f>K29/J29*100</f>
        <v>91.029733106617684</v>
      </c>
      <c r="S29" s="48">
        <f t="shared" si="2"/>
        <v>125494.8599999994</v>
      </c>
      <c r="T29" s="48">
        <f t="shared" si="3"/>
        <v>172790.25999999989</v>
      </c>
      <c r="V29" s="124">
        <v>42667.29</v>
      </c>
      <c r="W29" s="124">
        <v>2933.13</v>
      </c>
      <c r="X29" s="125"/>
      <c r="Y29" s="125"/>
      <c r="Z29" s="124">
        <v>33201.89</v>
      </c>
      <c r="AA29" s="124">
        <v>15.81</v>
      </c>
      <c r="AB29" s="48"/>
      <c r="AC29" s="49">
        <f t="shared" si="4"/>
        <v>42667.29</v>
      </c>
      <c r="AD29" s="48">
        <f t="shared" si="5"/>
        <v>0</v>
      </c>
    </row>
    <row r="30" spans="1:30" ht="12.75" customHeight="1">
      <c r="A30" s="2"/>
      <c r="O30" s="137">
        <f>SUM(O15:O29)</f>
        <v>15228699.089999998</v>
      </c>
      <c r="S30" s="3">
        <f>SUM(S15:S29)</f>
        <v>1788939.6600000001</v>
      </c>
      <c r="V30" s="3"/>
      <c r="W30" s="3"/>
      <c r="Z30" s="3">
        <f>SUM(Z15:Z29)</f>
        <v>748598.91999999993</v>
      </c>
      <c r="AA30" s="3">
        <f>SUM(AA15:AA29)</f>
        <v>27551.970000000005</v>
      </c>
    </row>
    <row r="31" spans="1:30" ht="15.75">
      <c r="A31" s="4" t="s">
        <v>76</v>
      </c>
      <c r="C31" s="17"/>
      <c r="D31" s="17"/>
      <c r="E31" s="17"/>
      <c r="F31" s="17"/>
      <c r="G31" s="17"/>
      <c r="H31" s="17"/>
      <c r="I31" s="26"/>
      <c r="V31" s="3">
        <f>SUBTOTAL(9,V29,V28,V27,V26,V25,V24,V23,V22,V21,V20,V19,V18,V17,V16,V15)</f>
        <v>691565.79</v>
      </c>
      <c r="W31" s="3">
        <f>SUBTOTAL(9,W29,W28,W27,W26,W25,W24,W23,W22,W21,W20,W19,W18,W17,W16,W15)</f>
        <v>39481.65</v>
      </c>
      <c r="X31" s="3"/>
    </row>
    <row r="32" spans="1:30" ht="18.75" customHeight="1">
      <c r="A32" s="2"/>
      <c r="B32" s="107" t="s">
        <v>164</v>
      </c>
      <c r="C32" s="182" t="s">
        <v>458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:27" ht="15.75">
      <c r="A33" s="2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spans="1:27" s="27" customFormat="1" ht="15.75">
      <c r="A34" s="123" t="str">
        <f>'УК 3 кв. 2024г.'!A36</f>
        <v>04 октября 2024г.</v>
      </c>
      <c r="I34" s="28"/>
      <c r="Z34" s="28"/>
      <c r="AA34" s="28"/>
    </row>
    <row r="35" spans="1:27" s="27" customFormat="1" ht="15.75">
      <c r="A35" s="4"/>
      <c r="I35" s="28"/>
      <c r="Z35" s="28"/>
      <c r="AA35" s="28"/>
    </row>
    <row r="36" spans="1:27" s="27" customFormat="1" ht="15.75">
      <c r="A36" s="4"/>
      <c r="I36" s="28"/>
      <c r="Z36" s="28"/>
      <c r="AA36" s="28"/>
    </row>
    <row r="37" spans="1:27" s="27" customFormat="1" ht="15.75">
      <c r="A37" s="4" t="s">
        <v>47</v>
      </c>
      <c r="I37" s="28"/>
      <c r="Z37" s="28"/>
      <c r="AA37" s="28"/>
    </row>
    <row r="38" spans="1:27" s="27" customFormat="1" ht="15.75">
      <c r="A38" s="30" t="s">
        <v>48</v>
      </c>
      <c r="I38" s="28"/>
      <c r="Z38" s="28"/>
      <c r="AA38" s="28"/>
    </row>
    <row r="39" spans="1:27">
      <c r="A39" s="1"/>
    </row>
    <row r="40" spans="1:27">
      <c r="A40" s="1"/>
      <c r="K40" s="3"/>
    </row>
    <row r="41" spans="1:27">
      <c r="A41" s="1"/>
    </row>
    <row r="42" spans="1:27">
      <c r="A42" s="1"/>
    </row>
    <row r="43" spans="1:27">
      <c r="A43" s="1"/>
    </row>
    <row r="44" spans="1:27">
      <c r="A44" s="1"/>
    </row>
    <row r="45" spans="1:27">
      <c r="A45" s="1"/>
    </row>
    <row r="46" spans="1:27">
      <c r="A46" s="1"/>
    </row>
    <row r="47" spans="1:27">
      <c r="A47" s="1"/>
    </row>
    <row r="48" spans="1:27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autoFilter ref="A13:AA32">
    <filterColumn colId="2"/>
  </autoFilter>
  <mergeCells count="25">
    <mergeCell ref="A11:A13"/>
    <mergeCell ref="B11:B13"/>
    <mergeCell ref="C11:C13"/>
    <mergeCell ref="D11:D13"/>
    <mergeCell ref="E11:E13"/>
    <mergeCell ref="A1:Q1"/>
    <mergeCell ref="A2:Q2"/>
    <mergeCell ref="A3:O3"/>
    <mergeCell ref="D5:M5"/>
    <mergeCell ref="D8:L8"/>
    <mergeCell ref="C32:O32"/>
    <mergeCell ref="Q11:Q13"/>
    <mergeCell ref="H12:H13"/>
    <mergeCell ref="I12:I13"/>
    <mergeCell ref="J12:J13"/>
    <mergeCell ref="K12:K13"/>
    <mergeCell ref="L12:L13"/>
    <mergeCell ref="M12:M13"/>
    <mergeCell ref="N12:N13"/>
    <mergeCell ref="F11:F13"/>
    <mergeCell ref="G11:G13"/>
    <mergeCell ref="H11:I11"/>
    <mergeCell ref="J11:K11"/>
    <mergeCell ref="L11:N11"/>
    <mergeCell ref="O11:O13"/>
  </mergeCells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9"/>
  <sheetViews>
    <sheetView topLeftCell="D12" zoomScaleNormal="100" workbookViewId="0">
      <selection activeCell="O10" sqref="O10"/>
    </sheetView>
  </sheetViews>
  <sheetFormatPr defaultColWidth="9.140625" defaultRowHeight="15"/>
  <cols>
    <col min="1" max="1" width="9.140625" style="13"/>
    <col min="2" max="2" width="12.42578125" style="13" customWidth="1"/>
    <col min="3" max="3" width="31.5703125" style="13" customWidth="1"/>
    <col min="4" max="4" width="9.140625" style="13"/>
    <col min="5" max="6" width="11" style="13" customWidth="1"/>
    <col min="7" max="7" width="12" style="13" customWidth="1"/>
    <col min="8" max="8" width="12.7109375" style="13" customWidth="1"/>
    <col min="9" max="9" width="13" style="13" customWidth="1"/>
    <col min="10" max="10" width="12.85546875" style="13" customWidth="1"/>
    <col min="11" max="11" width="14.7109375" style="13" customWidth="1"/>
    <col min="12" max="12" width="11" style="13" customWidth="1"/>
    <col min="13" max="13" width="24.140625" style="13" customWidth="1"/>
    <col min="14" max="14" width="11.85546875" style="13" customWidth="1"/>
    <col min="15" max="15" width="13.42578125" style="13" customWidth="1"/>
    <col min="16" max="16" width="8.42578125" style="15" customWidth="1"/>
    <col min="17" max="17" width="0.28515625" style="13" customWidth="1"/>
    <col min="18" max="18" width="11.5703125" style="13" bestFit="1" customWidth="1"/>
    <col min="19" max="19" width="13.5703125" style="13" customWidth="1"/>
    <col min="20" max="20" width="9.140625" style="13"/>
    <col min="21" max="21" width="10" style="13" bestFit="1" customWidth="1"/>
    <col min="22" max="22" width="10.42578125" style="13" bestFit="1" customWidth="1"/>
    <col min="23" max="24" width="9.140625" style="13"/>
    <col min="25" max="25" width="11.42578125" style="3" bestFit="1" customWidth="1"/>
    <col min="26" max="26" width="9.28515625" style="3" bestFit="1" customWidth="1"/>
    <col min="29" max="29" width="12.28515625" customWidth="1"/>
    <col min="30" max="16384" width="9.140625" style="13"/>
  </cols>
  <sheetData>
    <row r="1" spans="1:29" ht="16.5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Y1" s="26"/>
      <c r="Z1" s="26"/>
      <c r="AA1" s="17"/>
      <c r="AB1" s="17"/>
      <c r="AC1" s="17"/>
    </row>
    <row r="2" spans="1:29" s="17" customFormat="1" ht="15.75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Y2" s="26"/>
      <c r="Z2" s="26"/>
    </row>
    <row r="3" spans="1:29" s="17" customFormat="1" ht="31.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62"/>
      <c r="Y3" s="37"/>
      <c r="Z3" s="37"/>
      <c r="AA3" s="13"/>
      <c r="AB3" s="13"/>
      <c r="AC3" s="13"/>
    </row>
    <row r="4" spans="1:29" ht="15.75">
      <c r="A4" s="158" t="s">
        <v>457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Y4" s="37"/>
      <c r="Z4" s="37"/>
      <c r="AA4" s="13"/>
      <c r="AB4" s="13"/>
      <c r="AC4" s="13"/>
    </row>
    <row r="5" spans="1:29" ht="15.75">
      <c r="A5" s="1" t="s">
        <v>4</v>
      </c>
      <c r="D5" s="18" t="s">
        <v>50</v>
      </c>
      <c r="E5" s="17"/>
      <c r="F5" s="17"/>
      <c r="G5" s="17"/>
      <c r="H5" s="17"/>
      <c r="I5" s="17"/>
      <c r="J5" s="17"/>
      <c r="K5" s="17"/>
      <c r="Y5" s="37"/>
      <c r="Z5" s="37"/>
      <c r="AA5" s="13"/>
      <c r="AB5" s="13"/>
      <c r="AC5" s="13"/>
    </row>
    <row r="6" spans="1:29" ht="14.25" customHeight="1">
      <c r="D6" s="200" t="s">
        <v>6</v>
      </c>
      <c r="E6" s="200"/>
      <c r="F6" s="200"/>
      <c r="G6" s="200"/>
      <c r="H6" s="200"/>
      <c r="I6" s="200"/>
      <c r="J6" s="200"/>
      <c r="K6" s="200"/>
      <c r="L6" s="200"/>
      <c r="M6" s="200"/>
      <c r="Y6" s="37"/>
      <c r="Z6" s="37"/>
      <c r="AA6" s="13"/>
      <c r="AB6" s="13"/>
      <c r="AC6" s="13"/>
    </row>
    <row r="7" spans="1:29" ht="15.75">
      <c r="A7" s="1" t="s">
        <v>7</v>
      </c>
      <c r="D7" s="18" t="s">
        <v>51</v>
      </c>
      <c r="E7" s="17"/>
      <c r="F7" s="17"/>
      <c r="G7" s="17"/>
      <c r="H7" s="17"/>
      <c r="Y7" s="37"/>
      <c r="Z7" s="37"/>
      <c r="AA7" s="13"/>
      <c r="AB7" s="13"/>
      <c r="AC7" s="13"/>
    </row>
    <row r="8" spans="1:29">
      <c r="A8" s="1" t="s">
        <v>8</v>
      </c>
      <c r="Y8" s="37"/>
      <c r="Z8" s="37"/>
      <c r="AA8" s="13"/>
      <c r="AB8" s="13"/>
      <c r="AC8" s="13"/>
    </row>
    <row r="9" spans="1:29" ht="9.75" customHeight="1">
      <c r="A9" s="5"/>
      <c r="B9" s="14"/>
      <c r="C9" s="14"/>
      <c r="D9" s="201" t="s">
        <v>9</v>
      </c>
      <c r="E9" s="201"/>
      <c r="F9" s="201"/>
      <c r="G9" s="201"/>
      <c r="H9" s="201"/>
      <c r="I9" s="201"/>
      <c r="J9" s="201"/>
      <c r="K9" s="201"/>
      <c r="L9" s="201"/>
      <c r="Y9" s="37"/>
      <c r="Z9" s="37"/>
      <c r="AA9" s="13"/>
      <c r="AB9" s="13"/>
      <c r="AC9" s="13"/>
    </row>
    <row r="10" spans="1:29" ht="15.75">
      <c r="A10" s="18" t="s">
        <v>61</v>
      </c>
      <c r="Y10" s="37"/>
      <c r="Z10" s="37"/>
      <c r="AA10" s="13"/>
      <c r="AB10" s="13"/>
      <c r="AC10" s="13"/>
    </row>
    <row r="11" spans="1:29" ht="15.75">
      <c r="A11" s="18" t="s">
        <v>62</v>
      </c>
      <c r="Y11" s="39"/>
      <c r="Z11" s="39"/>
      <c r="AA11" s="38"/>
      <c r="AB11" s="38"/>
      <c r="AC11" s="38"/>
    </row>
    <row r="12" spans="1:29" ht="42" customHeight="1">
      <c r="A12" s="192" t="s">
        <v>10</v>
      </c>
      <c r="B12" s="196" t="s">
        <v>11</v>
      </c>
      <c r="C12" s="192" t="s">
        <v>12</v>
      </c>
      <c r="D12" s="192" t="s">
        <v>13</v>
      </c>
      <c r="E12" s="192" t="s">
        <v>14</v>
      </c>
      <c r="F12" s="192" t="s">
        <v>15</v>
      </c>
      <c r="G12" s="192" t="s">
        <v>16</v>
      </c>
      <c r="H12" s="190" t="s">
        <v>17</v>
      </c>
      <c r="I12" s="190"/>
      <c r="J12" s="190" t="s">
        <v>18</v>
      </c>
      <c r="K12" s="190"/>
      <c r="L12" s="190" t="s">
        <v>19</v>
      </c>
      <c r="M12" s="190"/>
      <c r="N12" s="190"/>
      <c r="O12" s="190" t="s">
        <v>20</v>
      </c>
      <c r="P12" s="195" t="s">
        <v>102</v>
      </c>
      <c r="Y12" s="39"/>
      <c r="Z12" s="39"/>
      <c r="AA12" s="38"/>
      <c r="AB12" s="38"/>
      <c r="AC12" s="38"/>
    </row>
    <row r="13" spans="1:29">
      <c r="A13" s="193"/>
      <c r="B13" s="197"/>
      <c r="C13" s="193"/>
      <c r="D13" s="193"/>
      <c r="E13" s="193"/>
      <c r="F13" s="193"/>
      <c r="G13" s="193"/>
      <c r="H13" s="190" t="s">
        <v>21</v>
      </c>
      <c r="I13" s="190" t="s">
        <v>22</v>
      </c>
      <c r="J13" s="190" t="s">
        <v>23</v>
      </c>
      <c r="K13" s="190" t="s">
        <v>24</v>
      </c>
      <c r="L13" s="190" t="s">
        <v>25</v>
      </c>
      <c r="M13" s="190" t="s">
        <v>26</v>
      </c>
      <c r="N13" s="190" t="s">
        <v>27</v>
      </c>
      <c r="O13" s="190"/>
      <c r="P13" s="195"/>
      <c r="Y13" s="39"/>
      <c r="Z13" s="39"/>
      <c r="AA13" s="38"/>
      <c r="AB13" s="38"/>
      <c r="AC13" s="38"/>
    </row>
    <row r="14" spans="1:29" ht="99" customHeight="1">
      <c r="A14" s="194"/>
      <c r="B14" s="198"/>
      <c r="C14" s="194"/>
      <c r="D14" s="194"/>
      <c r="E14" s="194"/>
      <c r="F14" s="194"/>
      <c r="G14" s="194"/>
      <c r="H14" s="190"/>
      <c r="I14" s="190"/>
      <c r="J14" s="190"/>
      <c r="K14" s="190"/>
      <c r="L14" s="190"/>
      <c r="M14" s="190"/>
      <c r="N14" s="190"/>
      <c r="O14" s="190"/>
      <c r="P14" s="195"/>
      <c r="V14" s="13" t="s">
        <v>348</v>
      </c>
      <c r="W14" s="13" t="s">
        <v>349</v>
      </c>
      <c r="Y14" s="39" t="s">
        <v>388</v>
      </c>
      <c r="Z14" s="39" t="s">
        <v>427</v>
      </c>
      <c r="AA14" s="14" t="s">
        <v>451</v>
      </c>
      <c r="AB14" s="14" t="s">
        <v>453</v>
      </c>
      <c r="AC14" s="14"/>
    </row>
    <row r="15" spans="1:29">
      <c r="A15" s="7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8">
        <v>15</v>
      </c>
      <c r="P15" s="101"/>
      <c r="Y15" s="48"/>
      <c r="Z15" s="48"/>
      <c r="AA15" s="49"/>
      <c r="AB15" s="49"/>
      <c r="AC15" s="49"/>
    </row>
    <row r="16" spans="1:29" s="15" customFormat="1" ht="30">
      <c r="A16" s="32">
        <v>1</v>
      </c>
      <c r="B16" s="32" t="s">
        <v>28</v>
      </c>
      <c r="C16" s="103" t="s">
        <v>405</v>
      </c>
      <c r="D16" s="32">
        <v>2001</v>
      </c>
      <c r="E16" s="32"/>
      <c r="F16" s="33">
        <v>9317.5</v>
      </c>
      <c r="G16" s="32">
        <v>6.66</v>
      </c>
      <c r="H16" s="33">
        <f>'УК 2 кв. 2024г.'!H16-'УК 2 кв. 2024г.'!I16+V16+W16+X16</f>
        <v>433943.17999999988</v>
      </c>
      <c r="I16" s="33">
        <f>Y16+Z16+AA16+AB16</f>
        <v>169418.66</v>
      </c>
      <c r="J16" s="33">
        <f>'УК 2 кв. 2024г.'!J16+'УК 3 кв. 2024г.'!V16+'УК 3 кв. 2024г.'!W16</f>
        <v>6228865.589999998</v>
      </c>
      <c r="K16" s="33">
        <f>'УК 2 кв. 2024г.'!K16+'УК 3 кв. 2024г.'!I16</f>
        <v>6045117.7600000007</v>
      </c>
      <c r="L16" s="64"/>
      <c r="M16" s="47"/>
      <c r="N16" s="33">
        <f>'УК 2 кв. 2024г.'!N16</f>
        <v>894970.86</v>
      </c>
      <c r="O16" s="33">
        <f>K16-N16</f>
        <v>5150146.9000000004</v>
      </c>
      <c r="P16" s="110">
        <f>K16/J16*100</f>
        <v>97.050059479610681</v>
      </c>
      <c r="R16" s="19">
        <f>J16-K16</f>
        <v>183747.82999999728</v>
      </c>
      <c r="S16" s="19">
        <f>H16-I16</f>
        <v>264524.5199999999</v>
      </c>
      <c r="V16" s="129">
        <v>186163.68</v>
      </c>
      <c r="W16" s="129">
        <v>2406.9699999999998</v>
      </c>
      <c r="X16" s="130"/>
      <c r="Y16" s="129">
        <v>168918.92</v>
      </c>
      <c r="Z16" s="129">
        <v>499.74</v>
      </c>
      <c r="AA16" s="48"/>
      <c r="AB16" s="48"/>
      <c r="AC16" s="49">
        <f>F16*G16*3</f>
        <v>186163.65000000002</v>
      </c>
    </row>
    <row r="17" spans="1:29" s="15" customFormat="1" ht="37.5" customHeight="1">
      <c r="A17" s="32">
        <v>1</v>
      </c>
      <c r="B17" s="32" t="s">
        <v>28</v>
      </c>
      <c r="C17" s="103" t="s">
        <v>406</v>
      </c>
      <c r="D17" s="32">
        <v>2011</v>
      </c>
      <c r="E17" s="32"/>
      <c r="F17" s="33">
        <v>3083.8</v>
      </c>
      <c r="G17" s="32">
        <v>9.34</v>
      </c>
      <c r="H17" s="33">
        <f>'УК 2 кв. 2024г.'!H17-'УК 2 кв. 2024г.'!I17+V17+W17+X17</f>
        <v>212529.91000000012</v>
      </c>
      <c r="I17" s="33">
        <f t="shared" ref="I17:I25" si="0">Y17+Z17+AA17+AB17</f>
        <v>63606.63</v>
      </c>
      <c r="J17" s="33">
        <f>'УК 2 кв. 2024г.'!J17+'УК 3 кв. 2024г.'!V17+'УК 3 кв. 2024г.'!W17</f>
        <v>2082175.4500000007</v>
      </c>
      <c r="K17" s="33">
        <f>'УК 2 кв. 2024г.'!K17+'УК 3 кв. 2024г.'!I17</f>
        <v>1933252.17</v>
      </c>
      <c r="L17" s="32"/>
      <c r="M17" s="32"/>
      <c r="N17" s="33">
        <f>'УК 2 кв. 2024г.'!N17</f>
        <v>0</v>
      </c>
      <c r="O17" s="33">
        <f>K17-N17</f>
        <v>1933252.17</v>
      </c>
      <c r="P17" s="110">
        <f t="shared" ref="P17:P23" si="1">K17/J17*100</f>
        <v>92.847707430226365</v>
      </c>
      <c r="R17" s="19">
        <f>J17-K17</f>
        <v>148923.28000000073</v>
      </c>
      <c r="S17" s="19">
        <f>H17-I17</f>
        <v>148923.28000000012</v>
      </c>
      <c r="V17" s="129">
        <v>86598.63</v>
      </c>
      <c r="W17" s="129">
        <v>3120.08</v>
      </c>
      <c r="X17" s="130"/>
      <c r="Y17" s="129">
        <v>63603.03</v>
      </c>
      <c r="Z17" s="131">
        <v>3.6</v>
      </c>
      <c r="AA17" s="48"/>
      <c r="AB17" s="48"/>
      <c r="AC17" s="49">
        <f>F17*G17*3</f>
        <v>86408.076000000001</v>
      </c>
    </row>
    <row r="18" spans="1:29" s="15" customFormat="1" ht="42" customHeight="1">
      <c r="A18" s="32">
        <v>1</v>
      </c>
      <c r="B18" s="32" t="s">
        <v>28</v>
      </c>
      <c r="C18" s="103" t="s">
        <v>407</v>
      </c>
      <c r="D18" s="32">
        <v>2012</v>
      </c>
      <c r="E18" s="32"/>
      <c r="F18" s="33">
        <v>2517.1999999999998</v>
      </c>
      <c r="G18" s="32">
        <v>9.34</v>
      </c>
      <c r="H18" s="33">
        <f>'УК 2 кв. 2024г.'!H18-'УК 2 кв. 2024г.'!I18+V18+W18+X18</f>
        <v>630251.50000000012</v>
      </c>
      <c r="I18" s="33">
        <f t="shared" si="0"/>
        <v>51700.79</v>
      </c>
      <c r="J18" s="33">
        <f>'УК 2 кв. 2024г.'!J18+'УК 3 кв. 2024г.'!V18+'УК 3 кв. 2024г.'!W18</f>
        <v>2381975.0099999998</v>
      </c>
      <c r="K18" s="33">
        <f>'УК 2 кв. 2024г.'!K18+'УК 3 кв. 2024г.'!I18</f>
        <v>1803424.3</v>
      </c>
      <c r="L18" s="34"/>
      <c r="M18" s="89"/>
      <c r="N18" s="33">
        <f>'УК 2 кв. 2024г.'!N18+N19</f>
        <v>928957.5</v>
      </c>
      <c r="O18" s="33">
        <f>K18-N18</f>
        <v>874466.8</v>
      </c>
      <c r="P18" s="110">
        <f t="shared" si="1"/>
        <v>75.711302277684283</v>
      </c>
      <c r="R18" s="19">
        <f>J18-K18</f>
        <v>578550.70999999973</v>
      </c>
      <c r="S18" s="19">
        <f>H18-I18</f>
        <v>578550.71000000008</v>
      </c>
      <c r="V18" s="129">
        <v>70531.92</v>
      </c>
      <c r="W18" s="129">
        <v>12362.84</v>
      </c>
      <c r="X18" s="130"/>
      <c r="Y18" s="129">
        <v>51516.5</v>
      </c>
      <c r="Z18" s="129">
        <v>184.29</v>
      </c>
      <c r="AA18" s="48"/>
      <c r="AB18" s="48"/>
      <c r="AC18" s="49">
        <f t="shared" ref="AC18:AC25" si="2">F18*G18*3</f>
        <v>70531.943999999989</v>
      </c>
    </row>
    <row r="19" spans="1:29" s="15" customFormat="1" ht="68.25" customHeight="1">
      <c r="A19" s="32"/>
      <c r="B19" s="32"/>
      <c r="C19" s="103"/>
      <c r="D19" s="32"/>
      <c r="E19" s="32"/>
      <c r="F19" s="33"/>
      <c r="G19" s="32"/>
      <c r="H19" s="33"/>
      <c r="I19" s="33"/>
      <c r="J19" s="33"/>
      <c r="K19" s="33"/>
      <c r="L19" s="147">
        <v>45527</v>
      </c>
      <c r="M19" s="89" t="s">
        <v>459</v>
      </c>
      <c r="N19" s="33">
        <v>562990.5</v>
      </c>
      <c r="O19" s="33"/>
      <c r="P19" s="110"/>
      <c r="R19" s="19"/>
      <c r="S19" s="19"/>
      <c r="V19" s="129"/>
      <c r="W19" s="129"/>
      <c r="X19" s="130"/>
      <c r="Y19" s="129"/>
      <c r="Z19" s="129"/>
      <c r="AA19" s="48"/>
      <c r="AB19" s="48"/>
      <c r="AC19" s="49"/>
    </row>
    <row r="20" spans="1:29" s="15" customFormat="1" ht="33" customHeight="1">
      <c r="A20" s="32">
        <v>1</v>
      </c>
      <c r="B20" s="32" t="s">
        <v>28</v>
      </c>
      <c r="C20" s="103" t="s">
        <v>408</v>
      </c>
      <c r="D20" s="32">
        <v>2012</v>
      </c>
      <c r="E20" s="32"/>
      <c r="F20" s="33">
        <v>2729.9</v>
      </c>
      <c r="G20" s="32">
        <v>9.34</v>
      </c>
      <c r="H20" s="33">
        <f>'УК 2 кв. 2024г.'!H19-'УК 2 кв. 2024г.'!I19+V20+W20+X20</f>
        <v>342768.69999999995</v>
      </c>
      <c r="I20" s="33">
        <f t="shared" si="0"/>
        <v>62512.21</v>
      </c>
      <c r="J20" s="33">
        <f>'УК 2 кв. 2024г.'!J19+'УК 3 кв. 2024г.'!V20+'УК 3 кв. 2024г.'!W20</f>
        <v>2597985.17</v>
      </c>
      <c r="K20" s="33">
        <f>'УК 2 кв. 2024г.'!K19+'УК 3 кв. 2024г.'!I20</f>
        <v>2317728.6799999997</v>
      </c>
      <c r="L20" s="43"/>
      <c r="M20" s="91"/>
      <c r="N20" s="33">
        <f>'УК 2 кв. 2024г.'!N19+N21</f>
        <v>1318750.8999999999</v>
      </c>
      <c r="O20" s="33">
        <f t="shared" ref="O20:O25" si="3">K20-N20</f>
        <v>998977.7799999998</v>
      </c>
      <c r="P20" s="120">
        <f t="shared" si="1"/>
        <v>89.212544658212948</v>
      </c>
      <c r="R20" s="19">
        <f>J20-K20</f>
        <v>280256.49000000022</v>
      </c>
      <c r="S20" s="19">
        <f t="shared" ref="S20:S25" si="4">H20-I20</f>
        <v>280256.48999999993</v>
      </c>
      <c r="U20" s="19"/>
      <c r="V20" s="129">
        <v>76491.899999999994</v>
      </c>
      <c r="W20" s="129">
        <v>5481.49</v>
      </c>
      <c r="X20" s="130"/>
      <c r="Y20" s="129">
        <v>62427.94</v>
      </c>
      <c r="Z20" s="131">
        <v>84.27</v>
      </c>
      <c r="AA20" s="48"/>
      <c r="AB20" s="48"/>
      <c r="AC20" s="49">
        <f t="shared" si="2"/>
        <v>76491.797999999995</v>
      </c>
    </row>
    <row r="21" spans="1:29" s="15" customFormat="1" ht="68.25" customHeight="1">
      <c r="A21" s="32"/>
      <c r="B21" s="32"/>
      <c r="C21" s="103"/>
      <c r="D21" s="32"/>
      <c r="E21" s="32"/>
      <c r="F21" s="33"/>
      <c r="G21" s="32"/>
      <c r="H21" s="33"/>
      <c r="I21" s="33"/>
      <c r="J21" s="33"/>
      <c r="K21" s="33"/>
      <c r="L21" s="147">
        <v>45527</v>
      </c>
      <c r="M21" s="89" t="s">
        <v>460</v>
      </c>
      <c r="N21" s="33">
        <v>562990.5</v>
      </c>
      <c r="O21" s="33"/>
      <c r="P21" s="110"/>
      <c r="R21" s="19"/>
      <c r="S21" s="19"/>
      <c r="V21" s="129"/>
      <c r="W21" s="129"/>
      <c r="X21" s="130"/>
      <c r="Y21" s="129"/>
      <c r="Z21" s="129"/>
      <c r="AA21" s="48"/>
      <c r="AB21" s="48"/>
      <c r="AC21" s="49"/>
    </row>
    <row r="22" spans="1:29" ht="35.25" customHeight="1">
      <c r="A22" s="32">
        <v>1</v>
      </c>
      <c r="B22" s="32" t="s">
        <v>28</v>
      </c>
      <c r="C22" s="103" t="s">
        <v>409</v>
      </c>
      <c r="D22" s="32">
        <v>2007</v>
      </c>
      <c r="E22" s="32"/>
      <c r="F22" s="33">
        <v>2918.7</v>
      </c>
      <c r="G22" s="32">
        <v>9.34</v>
      </c>
      <c r="H22" s="33">
        <f>'УК 2 кв. 2024г.'!H20-'УК 2 кв. 2024г.'!I20+V22+W22+X22</f>
        <v>102909.83999999995</v>
      </c>
      <c r="I22" s="33">
        <f t="shared" si="0"/>
        <v>87765.36</v>
      </c>
      <c r="J22" s="33">
        <f>'УК 2 кв. 2024г.'!J20+'УК 3 кв. 2024г.'!V22+'УК 3 кв. 2024г.'!W22</f>
        <v>2770840.4199999995</v>
      </c>
      <c r="K22" s="33">
        <f>'УК 2 кв. 2024г.'!K20+'УК 3 кв. 2024г.'!I22</f>
        <v>2502359.41</v>
      </c>
      <c r="L22" s="32"/>
      <c r="M22" s="32"/>
      <c r="N22" s="33">
        <f>'УК 2 кв. 2024г.'!N20</f>
        <v>650595</v>
      </c>
      <c r="O22" s="33">
        <f t="shared" si="3"/>
        <v>1851764.4100000001</v>
      </c>
      <c r="P22" s="120">
        <f t="shared" si="1"/>
        <v>90.310484571320089</v>
      </c>
      <c r="R22" s="19">
        <f>J22-K22</f>
        <v>268481.00999999931</v>
      </c>
      <c r="S22" s="19">
        <f t="shared" si="4"/>
        <v>15144.479999999952</v>
      </c>
      <c r="V22" s="129">
        <v>81782.039999999994</v>
      </c>
      <c r="W22" s="129">
        <v>4819.21</v>
      </c>
      <c r="X22" s="130"/>
      <c r="Y22" s="129">
        <v>81302.399999999994</v>
      </c>
      <c r="Z22" s="131">
        <v>6462.96</v>
      </c>
      <c r="AA22" s="48"/>
      <c r="AB22" s="48"/>
      <c r="AC22" s="49">
        <f t="shared" si="2"/>
        <v>81781.974000000002</v>
      </c>
    </row>
    <row r="23" spans="1:29" ht="35.25" customHeight="1">
      <c r="A23" s="32">
        <v>1</v>
      </c>
      <c r="B23" s="32" t="s">
        <v>28</v>
      </c>
      <c r="C23" s="103" t="s">
        <v>410</v>
      </c>
      <c r="D23" s="32">
        <v>2018</v>
      </c>
      <c r="E23" s="32"/>
      <c r="F23" s="33">
        <v>4764.6000000000004</v>
      </c>
      <c r="G23" s="32">
        <v>9.34</v>
      </c>
      <c r="H23" s="33">
        <f>'УК 2 кв. 2024г.'!H21-'УК 2 кв. 2024г.'!I21+V23+W23+X23</f>
        <v>358692.8899999999</v>
      </c>
      <c r="I23" s="33">
        <f t="shared" si="0"/>
        <v>117347.25</v>
      </c>
      <c r="J23" s="33">
        <f>'УК 2 кв. 2024г.'!J21+'УК 3 кв. 2024г.'!V23+'УК 3 кв. 2024г.'!W23</f>
        <v>1862162.36</v>
      </c>
      <c r="K23" s="33">
        <f>'УК 2 кв. 2024г.'!K21+'УК 3 кв. 2024г.'!I23</f>
        <v>1610119.77</v>
      </c>
      <c r="L23" s="32"/>
      <c r="M23" s="32"/>
      <c r="N23" s="33">
        <f>'УК 2 кв. 2024г.'!N21</f>
        <v>0</v>
      </c>
      <c r="O23" s="33">
        <f t="shared" si="3"/>
        <v>1610119.77</v>
      </c>
      <c r="P23" s="120">
        <f t="shared" si="1"/>
        <v>86.465058288472761</v>
      </c>
      <c r="R23" s="19">
        <f t="shared" ref="R23:R25" si="5">J23-K23</f>
        <v>252042.59000000008</v>
      </c>
      <c r="S23" s="19">
        <f t="shared" si="4"/>
        <v>241345.6399999999</v>
      </c>
      <c r="V23" s="129">
        <v>133504.07999999999</v>
      </c>
      <c r="W23" s="129">
        <v>4663.54</v>
      </c>
      <c r="X23" s="131"/>
      <c r="Y23" s="129">
        <v>117295.31</v>
      </c>
      <c r="Z23" s="129">
        <v>51.94</v>
      </c>
      <c r="AA23" s="48"/>
      <c r="AB23" s="48"/>
      <c r="AC23" s="49">
        <f t="shared" si="2"/>
        <v>133504.092</v>
      </c>
    </row>
    <row r="24" spans="1:29" ht="35.25" customHeight="1">
      <c r="A24" s="32">
        <v>1</v>
      </c>
      <c r="B24" s="32" t="s">
        <v>28</v>
      </c>
      <c r="C24" s="103" t="s">
        <v>411</v>
      </c>
      <c r="D24" s="32">
        <v>2007</v>
      </c>
      <c r="E24" s="32"/>
      <c r="F24" s="33">
        <v>1202.9000000000001</v>
      </c>
      <c r="G24" s="32">
        <v>6.66</v>
      </c>
      <c r="H24" s="33">
        <f>'УК 2 кв. 2024г.'!H22-'УК 2 кв. 2024г.'!I22+V24+W24+X24</f>
        <v>166296.96999999997</v>
      </c>
      <c r="I24" s="33">
        <f t="shared" si="0"/>
        <v>23906.959999999999</v>
      </c>
      <c r="J24" s="33">
        <f>'УК 2 кв. 2024г.'!J22+'УК 3 кв. 2024г.'!V24+'УК 3 кв. 2024г.'!W24</f>
        <v>796145.08000000031</v>
      </c>
      <c r="K24" s="33">
        <f>'УК 2 кв. 2024г.'!K22+'УК 3 кв. 2024г.'!I24</f>
        <v>667385.92000000004</v>
      </c>
      <c r="L24" s="32"/>
      <c r="M24" s="32"/>
      <c r="N24" s="33">
        <f>'УК 2 кв. 2024г.'!N22</f>
        <v>0</v>
      </c>
      <c r="O24" s="33">
        <f>K24-N24</f>
        <v>667385.92000000004</v>
      </c>
      <c r="P24" s="120">
        <f>K24/J24*100</f>
        <v>83.827173811084748</v>
      </c>
      <c r="R24" s="19">
        <f t="shared" si="5"/>
        <v>128759.16000000027</v>
      </c>
      <c r="S24" s="19">
        <f t="shared" si="4"/>
        <v>142390.00999999998</v>
      </c>
      <c r="V24" s="129">
        <v>24033.9</v>
      </c>
      <c r="W24" s="129">
        <v>2636.67</v>
      </c>
      <c r="X24" s="130"/>
      <c r="Y24" s="129">
        <v>23859.59</v>
      </c>
      <c r="Z24" s="130">
        <v>47.37</v>
      </c>
      <c r="AA24" s="48"/>
      <c r="AB24" s="48"/>
      <c r="AC24" s="49">
        <f t="shared" si="2"/>
        <v>24033.942000000003</v>
      </c>
    </row>
    <row r="25" spans="1:29" ht="35.25" customHeight="1">
      <c r="A25" s="32">
        <v>1</v>
      </c>
      <c r="B25" s="32" t="s">
        <v>28</v>
      </c>
      <c r="C25" s="103" t="s">
        <v>412</v>
      </c>
      <c r="D25" s="32">
        <v>2006</v>
      </c>
      <c r="E25" s="32"/>
      <c r="F25" s="33">
        <v>1201.8</v>
      </c>
      <c r="G25" s="32">
        <v>6.66</v>
      </c>
      <c r="H25" s="33">
        <f>'УК 2 кв. 2024г.'!H23-'УК 2 кв. 2024г.'!I23+V25+W25+X25</f>
        <v>94353.639999999985</v>
      </c>
      <c r="I25" s="33">
        <f t="shared" si="0"/>
        <v>19045.400000000001</v>
      </c>
      <c r="J25" s="33">
        <f>'УК 2 кв. 2024г.'!J23+'УК 3 кв. 2024г.'!V25+'УК 3 кв. 2024г.'!W25</f>
        <v>742938.17</v>
      </c>
      <c r="K25" s="33">
        <f>'УК 2 кв. 2024г.'!K23+'УК 3 кв. 2024г.'!I25</f>
        <v>656934.61</v>
      </c>
      <c r="L25" s="32"/>
      <c r="M25" s="32"/>
      <c r="N25" s="33">
        <f>'УК 2 кв. 2024г.'!N23</f>
        <v>369062</v>
      </c>
      <c r="O25" s="33">
        <f t="shared" si="3"/>
        <v>287872.61</v>
      </c>
      <c r="P25" s="120">
        <f>K25/J25*100</f>
        <v>88.423860359738953</v>
      </c>
      <c r="R25" s="19">
        <f t="shared" si="5"/>
        <v>86003.560000000056</v>
      </c>
      <c r="S25" s="19">
        <f t="shared" si="4"/>
        <v>75308.239999999991</v>
      </c>
      <c r="V25" s="129">
        <v>24011.97</v>
      </c>
      <c r="W25" s="129">
        <v>13974.92</v>
      </c>
      <c r="X25" s="130"/>
      <c r="Y25" s="129">
        <v>18973.740000000002</v>
      </c>
      <c r="Z25" s="129">
        <v>71.66</v>
      </c>
      <c r="AA25" s="48"/>
      <c r="AB25" s="48"/>
      <c r="AC25" s="49">
        <f t="shared" si="2"/>
        <v>24011.964</v>
      </c>
    </row>
    <row r="26" spans="1:29">
      <c r="A26" s="67"/>
      <c r="B26" s="67"/>
      <c r="C26" s="67"/>
      <c r="D26" s="67"/>
      <c r="E26" s="67"/>
      <c r="F26" s="68"/>
      <c r="G26" s="67"/>
      <c r="H26" s="68"/>
      <c r="I26" s="68"/>
      <c r="J26" s="68"/>
      <c r="K26" s="68"/>
      <c r="L26" s="67"/>
      <c r="M26" s="67"/>
      <c r="N26" s="67"/>
      <c r="O26" s="68"/>
      <c r="P26" s="63"/>
      <c r="V26" s="37">
        <f>SUM(V16:V25)</f>
        <v>683118.12</v>
      </c>
      <c r="W26" s="37">
        <f>SUM(W16:W25)</f>
        <v>49465.719999999994</v>
      </c>
      <c r="X26" s="37">
        <f t="shared" ref="X26:Z26" si="6">SUM(X16:X25)</f>
        <v>0</v>
      </c>
      <c r="Y26" s="37">
        <f t="shared" si="6"/>
        <v>587897.43000000005</v>
      </c>
      <c r="Z26" s="37">
        <f t="shared" si="6"/>
        <v>7405.829999999999</v>
      </c>
      <c r="AA26" s="48"/>
      <c r="AB26" s="48"/>
      <c r="AC26" s="49">
        <f t="shared" ref="AC26:AC31" si="7">E26*F26*3</f>
        <v>0</v>
      </c>
    </row>
    <row r="27" spans="1:29" s="17" customFormat="1" ht="26.25" customHeight="1">
      <c r="A27" s="4" t="s">
        <v>64</v>
      </c>
      <c r="C27" s="90"/>
      <c r="D27" s="90"/>
      <c r="E27" s="90"/>
      <c r="F27" s="90"/>
      <c r="G27" s="90"/>
      <c r="H27" s="90"/>
      <c r="I27" s="90"/>
      <c r="J27" s="90"/>
      <c r="K27" s="90"/>
      <c r="L27" s="4"/>
      <c r="P27" s="62"/>
      <c r="Y27" s="124"/>
      <c r="Z27" s="124"/>
      <c r="AA27" s="48"/>
      <c r="AB27" s="48"/>
      <c r="AC27" s="49">
        <f t="shared" si="7"/>
        <v>0</v>
      </c>
    </row>
    <row r="28" spans="1:29" s="17" customFormat="1" ht="18.75" customHeight="1">
      <c r="A28" s="4"/>
      <c r="B28" s="136" t="s">
        <v>463</v>
      </c>
      <c r="C28" s="136"/>
      <c r="D28" s="136"/>
      <c r="E28" s="136"/>
      <c r="F28" s="136"/>
      <c r="G28" s="136"/>
      <c r="H28" s="136"/>
      <c r="I28" s="136"/>
      <c r="J28" s="136"/>
      <c r="K28" s="90"/>
      <c r="L28" s="4"/>
      <c r="P28" s="62"/>
      <c r="Y28" s="124"/>
      <c r="Z28" s="124"/>
      <c r="AA28" s="48"/>
      <c r="AB28" s="48"/>
      <c r="AC28" s="49">
        <f t="shared" si="7"/>
        <v>0</v>
      </c>
    </row>
    <row r="29" spans="1:29" s="62" customFormat="1" ht="12.75" customHeight="1">
      <c r="A29" s="111"/>
      <c r="B29" s="191" t="s">
        <v>461</v>
      </c>
      <c r="C29" s="191"/>
      <c r="D29" s="191"/>
      <c r="E29" s="191"/>
      <c r="F29" s="191"/>
      <c r="G29" s="191"/>
      <c r="H29" s="191"/>
      <c r="I29" s="191"/>
      <c r="J29" s="15"/>
      <c r="K29" s="15"/>
      <c r="Y29" s="124"/>
      <c r="Z29" s="124"/>
      <c r="AA29" s="48"/>
      <c r="AB29" s="48"/>
      <c r="AC29" s="49">
        <f t="shared" si="7"/>
        <v>0</v>
      </c>
    </row>
    <row r="30" spans="1:29" s="17" customFormat="1" ht="16.5" customHeight="1">
      <c r="A30" s="4"/>
      <c r="B30" s="13" t="s">
        <v>464</v>
      </c>
      <c r="C30" s="13"/>
      <c r="D30" s="13"/>
      <c r="E30" s="13"/>
      <c r="F30" s="13"/>
      <c r="G30" s="13"/>
      <c r="H30" s="13"/>
      <c r="I30" s="13"/>
      <c r="J30" s="13"/>
      <c r="K30" s="13"/>
      <c r="P30" s="62"/>
      <c r="Y30" s="124">
        <v>56183.08</v>
      </c>
      <c r="Z30" s="124">
        <v>20.37</v>
      </c>
      <c r="AA30" s="48"/>
      <c r="AB30" s="48"/>
      <c r="AC30" s="49">
        <f t="shared" si="7"/>
        <v>0</v>
      </c>
    </row>
    <row r="31" spans="1:29" s="17" customFormat="1" ht="14.25" customHeight="1">
      <c r="A31" s="4"/>
      <c r="B31" s="13" t="s">
        <v>465</v>
      </c>
      <c r="C31" s="13"/>
      <c r="D31" s="13"/>
      <c r="E31" s="13"/>
      <c r="F31" s="13"/>
      <c r="G31" s="13"/>
      <c r="H31" s="13"/>
      <c r="I31" s="13"/>
      <c r="J31" s="13"/>
      <c r="K31" s="13"/>
      <c r="P31" s="62"/>
      <c r="Y31" s="124">
        <v>43711.13</v>
      </c>
      <c r="Z31" s="124">
        <v>979.02</v>
      </c>
      <c r="AA31" s="48"/>
      <c r="AB31" s="48"/>
      <c r="AC31" s="49">
        <f t="shared" si="7"/>
        <v>0</v>
      </c>
    </row>
    <row r="32" spans="1:29" s="17" customFormat="1" ht="15.75" customHeight="1">
      <c r="A32" s="4"/>
      <c r="B32" s="13" t="s">
        <v>466</v>
      </c>
      <c r="C32" s="13"/>
      <c r="D32" s="13"/>
      <c r="E32" s="13"/>
      <c r="F32" s="13"/>
      <c r="G32" s="13"/>
      <c r="H32" s="13"/>
      <c r="I32" s="13"/>
      <c r="J32" s="13"/>
      <c r="K32" s="13"/>
      <c r="P32" s="62"/>
      <c r="Y32" s="3"/>
      <c r="Z32" s="3"/>
      <c r="AA32"/>
      <c r="AB32"/>
      <c r="AC32"/>
    </row>
    <row r="33" spans="1:29" s="17" customFormat="1" ht="18" customHeight="1">
      <c r="A33" s="4"/>
      <c r="B33" s="13" t="s">
        <v>462</v>
      </c>
      <c r="C33" s="13"/>
      <c r="D33" s="13"/>
      <c r="E33" s="13"/>
      <c r="F33" s="13"/>
      <c r="G33" s="13"/>
      <c r="H33" s="13"/>
      <c r="I33" s="13"/>
      <c r="J33" s="13"/>
      <c r="K33" s="13"/>
      <c r="P33" s="62"/>
      <c r="Y33" s="28"/>
      <c r="Z33" s="28"/>
      <c r="AA33" s="27"/>
      <c r="AB33" s="27"/>
      <c r="AC33" s="27"/>
    </row>
    <row r="34" spans="1:29" s="17" customFormat="1" ht="12" customHeight="1">
      <c r="A34" s="4"/>
      <c r="C34" s="13"/>
      <c r="D34" s="13"/>
      <c r="E34" s="13"/>
      <c r="F34" s="13"/>
      <c r="G34" s="13"/>
      <c r="H34" s="13"/>
      <c r="I34" s="13"/>
      <c r="J34" s="13"/>
      <c r="K34" s="13"/>
      <c r="P34" s="62"/>
      <c r="Y34" s="28"/>
      <c r="Z34" s="28"/>
      <c r="AA34" s="27"/>
      <c r="AB34" s="27"/>
      <c r="AC34" s="27"/>
    </row>
    <row r="35" spans="1:29" s="17" customFormat="1" ht="15" customHeight="1">
      <c r="A35" s="4"/>
      <c r="C35" s="13"/>
      <c r="D35" s="13"/>
      <c r="E35" s="13"/>
      <c r="F35" s="13"/>
      <c r="G35" s="13"/>
      <c r="H35" s="13"/>
      <c r="I35" s="13"/>
      <c r="J35" s="13"/>
      <c r="K35" s="13"/>
      <c r="P35" s="62"/>
      <c r="Y35" s="28"/>
      <c r="Z35" s="28"/>
      <c r="AA35" s="27"/>
      <c r="AB35" s="27"/>
      <c r="AC35" s="27"/>
    </row>
    <row r="36" spans="1:29" s="17" customFormat="1" ht="15.75">
      <c r="A36" s="4" t="s">
        <v>456</v>
      </c>
      <c r="P36" s="62"/>
      <c r="Y36" s="28"/>
      <c r="Z36" s="28"/>
      <c r="AA36" s="27"/>
      <c r="AB36" s="27"/>
      <c r="AC36" s="27"/>
    </row>
    <row r="37" spans="1:29" s="17" customFormat="1" ht="15.75">
      <c r="A37" s="4" t="s">
        <v>59</v>
      </c>
      <c r="P37" s="62"/>
      <c r="Y37" s="3"/>
      <c r="Z37" s="3"/>
      <c r="AA37"/>
      <c r="AB37"/>
      <c r="AC37"/>
    </row>
    <row r="38" spans="1:29" s="17" customFormat="1" ht="15.75">
      <c r="A38" s="4"/>
      <c r="P38" s="62"/>
      <c r="Y38" s="3"/>
      <c r="Z38" s="3"/>
      <c r="AA38"/>
      <c r="AB38"/>
      <c r="AC38"/>
    </row>
    <row r="39" spans="1:29">
      <c r="A39" s="2" t="s">
        <v>48</v>
      </c>
    </row>
  </sheetData>
  <autoFilter ref="A15:W25"/>
  <mergeCells count="26">
    <mergeCell ref="D9:L9"/>
    <mergeCell ref="A1:P1"/>
    <mergeCell ref="A2:P2"/>
    <mergeCell ref="A3:O3"/>
    <mergeCell ref="A4:O4"/>
    <mergeCell ref="D6:M6"/>
    <mergeCell ref="A12:A14"/>
    <mergeCell ref="B12:B14"/>
    <mergeCell ref="C12:C14"/>
    <mergeCell ref="D12:D14"/>
    <mergeCell ref="E12:E14"/>
    <mergeCell ref="O12:O14"/>
    <mergeCell ref="P12:P14"/>
    <mergeCell ref="H13:H14"/>
    <mergeCell ref="I13:I14"/>
    <mergeCell ref="J13:J14"/>
    <mergeCell ref="K13:K14"/>
    <mergeCell ref="L13:L14"/>
    <mergeCell ref="M13:M14"/>
    <mergeCell ref="N13:N14"/>
    <mergeCell ref="B29:I29"/>
    <mergeCell ref="G12:G14"/>
    <mergeCell ref="H12:I12"/>
    <mergeCell ref="J12:K12"/>
    <mergeCell ref="L12:N12"/>
    <mergeCell ref="F12:F14"/>
  </mergeCells>
  <pageMargins left="0.78740157480314965" right="0.39370078740157483" top="0.39370078740157483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59</vt:i4>
      </vt:variant>
      <vt:variant>
        <vt:lpstr>Именованные диапазоны</vt:lpstr>
      </vt:variant>
      <vt:variant>
        <vt:i4>103</vt:i4>
      </vt:variant>
    </vt:vector>
  </HeadingPairs>
  <TitlesOfParts>
    <vt:vector size="162" baseType="lpstr">
      <vt:lpstr>Сводная для жильцов</vt:lpstr>
      <vt:lpstr>ТСЖ 2 кв.2025г.</vt:lpstr>
      <vt:lpstr> 2 кв. 2025г.</vt:lpstr>
      <vt:lpstr>ТСЖ 1 кв.2025г.</vt:lpstr>
      <vt:lpstr> 1 кв. 2025г.</vt:lpstr>
      <vt:lpstr>ТСЖ 4 кв.2024г.</vt:lpstr>
      <vt:lpstr>УК 4 кв. 2024г.</vt:lpstr>
      <vt:lpstr>ТСЖ 3 кв.2024г.</vt:lpstr>
      <vt:lpstr>УК 3 кв. 2024г.</vt:lpstr>
      <vt:lpstr>ТСЖ 2 кв.2024г.</vt:lpstr>
      <vt:lpstr>УК 2 кв. 2024г.</vt:lpstr>
      <vt:lpstr>ТСЖ 1 кв.2024г.</vt:lpstr>
      <vt:lpstr>УК 1 кв. 2024г.</vt:lpstr>
      <vt:lpstr>ТСЖ 4 кв.2023г.</vt:lpstr>
      <vt:lpstr>УК 4 кв. 2023г.</vt:lpstr>
      <vt:lpstr>ТСЖ 3 кв.2023г.</vt:lpstr>
      <vt:lpstr>УК 3 кв. 2023г.</vt:lpstr>
      <vt:lpstr>ТСЖ 2 кв.2023г.</vt:lpstr>
      <vt:lpstr>УК 2 кв. 2023г.</vt:lpstr>
      <vt:lpstr>ТСЖ 1 кв.2023г.</vt:lpstr>
      <vt:lpstr>УК 1 кв. 2023г.</vt:lpstr>
      <vt:lpstr>УК 4 кв. 2022г.</vt:lpstr>
      <vt:lpstr>ТСЖ 4 кв.2022г.</vt:lpstr>
      <vt:lpstr>УК 3кв. 2022г.</vt:lpstr>
      <vt:lpstr>ТСЖ 3 кв.2022г.</vt:lpstr>
      <vt:lpstr>УК 2кв. 2022г.</vt:lpstr>
      <vt:lpstr>ТСЖ 2 кв.2022г.</vt:lpstr>
      <vt:lpstr>УК 1кв. 2022г.</vt:lpstr>
      <vt:lpstr>ТСЖ 1 кв.2022г.</vt:lpstr>
      <vt:lpstr>УК 4кв. 2021г.</vt:lpstr>
      <vt:lpstr>ТСЖ 4 кв.2021г.</vt:lpstr>
      <vt:lpstr>УК 3кв. 2021г.</vt:lpstr>
      <vt:lpstr>ТСЖ 3 кв.2021г.</vt:lpstr>
      <vt:lpstr>УК 2кв. 2021г.</vt:lpstr>
      <vt:lpstr>ТСЖ 2 кв.2021г. </vt:lpstr>
      <vt:lpstr>УК 1кв. 2021г.</vt:lpstr>
      <vt:lpstr>ТСЖ 1 кв.2021г.</vt:lpstr>
      <vt:lpstr>УК 4 кв. 2020г.</vt:lpstr>
      <vt:lpstr>ТСЖ 4 кв.2020г.</vt:lpstr>
      <vt:lpstr>УК 3 кв. 2020г.</vt:lpstr>
      <vt:lpstr>ТСЖ 3 кв.2020г.</vt:lpstr>
      <vt:lpstr>УК 2 кв. 2020г.</vt:lpstr>
      <vt:lpstr>ТСЖ 2 кв.2020г.</vt:lpstr>
      <vt:lpstr>УК 1 кв. 2020г.</vt:lpstr>
      <vt:lpstr>ТСЖ 1 кв.2020г.</vt:lpstr>
      <vt:lpstr>УК 4 кв. 2019г</vt:lpstr>
      <vt:lpstr>ТСЖ 4  кв.2019г</vt:lpstr>
      <vt:lpstr>УК 3 кв. 2019г </vt:lpstr>
      <vt:lpstr>ТСЖ 3 кв.2019г </vt:lpstr>
      <vt:lpstr>УК 2 кв. 2019г </vt:lpstr>
      <vt:lpstr>ТСЖ 2 кв.2019г </vt:lpstr>
      <vt:lpstr>ТСЖ 1 кв.2019г</vt:lpstr>
      <vt:lpstr>УК 1кв. 2019г</vt:lpstr>
      <vt:lpstr>ТСЖ 2 КВ. 2018 </vt:lpstr>
      <vt:lpstr>УК 1кв. 2018г.</vt:lpstr>
      <vt:lpstr>ТСЖ 1 КВ. 2018</vt:lpstr>
      <vt:lpstr>ТСЖ 4 кв.17</vt:lpstr>
      <vt:lpstr>УК 4 кв.17</vt:lpstr>
      <vt:lpstr>Лист3</vt:lpstr>
      <vt:lpstr>'ТСЖ 1 КВ. 2018'!__DdeLink__3079_107845019366</vt:lpstr>
      <vt:lpstr>'ТСЖ 1 кв.2019г'!__DdeLink__3079_107845019366</vt:lpstr>
      <vt:lpstr>'ТСЖ 1 кв.2020г.'!__DdeLink__3079_107845019366</vt:lpstr>
      <vt:lpstr>'ТСЖ 1 кв.2021г.'!__DdeLink__3079_107845019366</vt:lpstr>
      <vt:lpstr>'ТСЖ 1 кв.2022г.'!__DdeLink__3079_107845019366</vt:lpstr>
      <vt:lpstr>'ТСЖ 1 кв.2023г.'!__DdeLink__3079_107845019366</vt:lpstr>
      <vt:lpstr>'ТСЖ 1 кв.2024г.'!__DdeLink__3079_107845019366</vt:lpstr>
      <vt:lpstr>'ТСЖ 1 кв.2025г.'!__DdeLink__3079_107845019366</vt:lpstr>
      <vt:lpstr>'ТСЖ 2 КВ. 2018 '!__DdeLink__3079_107845019366</vt:lpstr>
      <vt:lpstr>'ТСЖ 2 кв.2019г '!__DdeLink__3079_107845019366</vt:lpstr>
      <vt:lpstr>'ТСЖ 2 кв.2020г.'!__DdeLink__3079_107845019366</vt:lpstr>
      <vt:lpstr>'ТСЖ 2 кв.2021г. '!__DdeLink__3079_107845019366</vt:lpstr>
      <vt:lpstr>'ТСЖ 2 кв.2022г.'!__DdeLink__3079_107845019366</vt:lpstr>
      <vt:lpstr>'ТСЖ 2 кв.2023г.'!__DdeLink__3079_107845019366</vt:lpstr>
      <vt:lpstr>'ТСЖ 2 кв.2024г.'!__DdeLink__3079_107845019366</vt:lpstr>
      <vt:lpstr>'ТСЖ 2 кв.2025г.'!__DdeLink__3079_107845019366</vt:lpstr>
      <vt:lpstr>'ТСЖ 3 кв.2019г '!__DdeLink__3079_107845019366</vt:lpstr>
      <vt:lpstr>'ТСЖ 3 кв.2020г.'!__DdeLink__3079_107845019366</vt:lpstr>
      <vt:lpstr>'ТСЖ 3 кв.2021г.'!__DdeLink__3079_107845019366</vt:lpstr>
      <vt:lpstr>'ТСЖ 3 кв.2022г.'!__DdeLink__3079_107845019366</vt:lpstr>
      <vt:lpstr>'ТСЖ 3 кв.2023г.'!__DdeLink__3079_107845019366</vt:lpstr>
      <vt:lpstr>'ТСЖ 3 кв.2024г.'!__DdeLink__3079_107845019366</vt:lpstr>
      <vt:lpstr>'ТСЖ 4  кв.2019г'!__DdeLink__3079_107845019366</vt:lpstr>
      <vt:lpstr>'ТСЖ 4 кв.17'!__DdeLink__3079_107845019366</vt:lpstr>
      <vt:lpstr>'ТСЖ 4 кв.2020г.'!__DdeLink__3079_107845019366</vt:lpstr>
      <vt:lpstr>'ТСЖ 4 кв.2021г.'!__DdeLink__3079_107845019366</vt:lpstr>
      <vt:lpstr>'ТСЖ 4 кв.2022г.'!__DdeLink__3079_107845019366</vt:lpstr>
      <vt:lpstr>'ТСЖ 4 кв.2023г.'!__DdeLink__3079_107845019366</vt:lpstr>
      <vt:lpstr>'ТСЖ 4 кв.2024г.'!__DdeLink__3079_107845019366</vt:lpstr>
      <vt:lpstr>'ТСЖ 1 КВ. 2018'!_GoBack</vt:lpstr>
      <vt:lpstr>'ТСЖ 1 кв.2019г'!_GoBack</vt:lpstr>
      <vt:lpstr>'ТСЖ 1 кв.2020г.'!_GoBack</vt:lpstr>
      <vt:lpstr>'ТСЖ 1 кв.2021г.'!_GoBack</vt:lpstr>
      <vt:lpstr>'ТСЖ 1 кв.2022г.'!_GoBack</vt:lpstr>
      <vt:lpstr>'ТСЖ 1 кв.2023г.'!_GoBack</vt:lpstr>
      <vt:lpstr>'ТСЖ 1 кв.2024г.'!_GoBack</vt:lpstr>
      <vt:lpstr>'ТСЖ 1 кв.2025г.'!_GoBack</vt:lpstr>
      <vt:lpstr>'ТСЖ 2 КВ. 2018 '!_GoBack</vt:lpstr>
      <vt:lpstr>'ТСЖ 2 кв.2019г '!_GoBack</vt:lpstr>
      <vt:lpstr>'ТСЖ 2 кв.2020г.'!_GoBack</vt:lpstr>
      <vt:lpstr>'ТСЖ 2 кв.2021г. '!_GoBack</vt:lpstr>
      <vt:lpstr>'ТСЖ 2 кв.2022г.'!_GoBack</vt:lpstr>
      <vt:lpstr>'ТСЖ 2 кв.2023г.'!_GoBack</vt:lpstr>
      <vt:lpstr>'ТСЖ 2 кв.2024г.'!_GoBack</vt:lpstr>
      <vt:lpstr>'ТСЖ 2 кв.2025г.'!_GoBack</vt:lpstr>
      <vt:lpstr>'ТСЖ 3 кв.2019г '!_GoBack</vt:lpstr>
      <vt:lpstr>'ТСЖ 3 кв.2020г.'!_GoBack</vt:lpstr>
      <vt:lpstr>'ТСЖ 3 кв.2021г.'!_GoBack</vt:lpstr>
      <vt:lpstr>'ТСЖ 3 кв.2022г.'!_GoBack</vt:lpstr>
      <vt:lpstr>'ТСЖ 3 кв.2023г.'!_GoBack</vt:lpstr>
      <vt:lpstr>'ТСЖ 3 кв.2024г.'!_GoBack</vt:lpstr>
      <vt:lpstr>'ТСЖ 4  кв.2019г'!_GoBack</vt:lpstr>
      <vt:lpstr>'ТСЖ 4 кв.17'!_GoBack</vt:lpstr>
      <vt:lpstr>'ТСЖ 4 кв.2020г.'!_GoBack</vt:lpstr>
      <vt:lpstr>'ТСЖ 4 кв.2021г.'!_GoBack</vt:lpstr>
      <vt:lpstr>'ТСЖ 4 кв.2022г.'!_GoBack</vt:lpstr>
      <vt:lpstr>'ТСЖ 4 кв.2023г.'!_GoBack</vt:lpstr>
      <vt:lpstr>'ТСЖ 4 кв.2024г.'!_GoBack</vt:lpstr>
      <vt:lpstr>' 1 кв. 2025г.'!Область_печати</vt:lpstr>
      <vt:lpstr>' 2 кв. 2025г.'!Область_печати</vt:lpstr>
      <vt:lpstr>'ТСЖ 1 кв.2020г.'!Область_печати</vt:lpstr>
      <vt:lpstr>'ТСЖ 1 кв.2021г.'!Область_печати</vt:lpstr>
      <vt:lpstr>'ТСЖ 1 кв.2022г.'!Область_печати</vt:lpstr>
      <vt:lpstr>'ТСЖ 1 кв.2023г.'!Область_печати</vt:lpstr>
      <vt:lpstr>'ТСЖ 1 кв.2024г.'!Область_печати</vt:lpstr>
      <vt:lpstr>'ТСЖ 1 кв.2025г.'!Область_печати</vt:lpstr>
      <vt:lpstr>'ТСЖ 2 кв.2020г.'!Область_печати</vt:lpstr>
      <vt:lpstr>'ТСЖ 2 кв.2021г. '!Область_печати</vt:lpstr>
      <vt:lpstr>'ТСЖ 2 кв.2022г.'!Область_печати</vt:lpstr>
      <vt:lpstr>'ТСЖ 2 кв.2023г.'!Область_печати</vt:lpstr>
      <vt:lpstr>'ТСЖ 2 кв.2024г.'!Область_печати</vt:lpstr>
      <vt:lpstr>'ТСЖ 2 кв.2025г.'!Область_печати</vt:lpstr>
      <vt:lpstr>'ТСЖ 3 кв.2020г.'!Область_печати</vt:lpstr>
      <vt:lpstr>'ТСЖ 3 кв.2021г.'!Область_печати</vt:lpstr>
      <vt:lpstr>'ТСЖ 3 кв.2022г.'!Область_печати</vt:lpstr>
      <vt:lpstr>'ТСЖ 3 кв.2023г.'!Область_печати</vt:lpstr>
      <vt:lpstr>'ТСЖ 3 кв.2024г.'!Область_печати</vt:lpstr>
      <vt:lpstr>'ТСЖ 4 кв.2020г.'!Область_печати</vt:lpstr>
      <vt:lpstr>'ТСЖ 4 кв.2021г.'!Область_печати</vt:lpstr>
      <vt:lpstr>'ТСЖ 4 кв.2022г.'!Область_печати</vt:lpstr>
      <vt:lpstr>'ТСЖ 4 кв.2023г.'!Область_печати</vt:lpstr>
      <vt:lpstr>'ТСЖ 4 кв.2024г.'!Область_печати</vt:lpstr>
      <vt:lpstr>'УК 1 кв. 2020г.'!Область_печати</vt:lpstr>
      <vt:lpstr>'УК 1 кв. 2023г.'!Область_печати</vt:lpstr>
      <vt:lpstr>'УК 1 кв. 2024г.'!Область_печати</vt:lpstr>
      <vt:lpstr>'УК 1кв. 2021г.'!Область_печати</vt:lpstr>
      <vt:lpstr>'УК 1кв. 2022г.'!Область_печати</vt:lpstr>
      <vt:lpstr>'УК 2 кв. 2020г.'!Область_печати</vt:lpstr>
      <vt:lpstr>'УК 2 кв. 2023г.'!Область_печати</vt:lpstr>
      <vt:lpstr>'УК 2 кв. 2024г.'!Область_печати</vt:lpstr>
      <vt:lpstr>'УК 2кв. 2021г.'!Область_печати</vt:lpstr>
      <vt:lpstr>'УК 2кв. 2022г.'!Область_печати</vt:lpstr>
      <vt:lpstr>'УК 3 кв. 2020г.'!Область_печати</vt:lpstr>
      <vt:lpstr>'УК 3 кв. 2023г.'!Область_печати</vt:lpstr>
      <vt:lpstr>'УК 3 кв. 2024г.'!Область_печати</vt:lpstr>
      <vt:lpstr>'УК 3кв. 2021г.'!Область_печати</vt:lpstr>
      <vt:lpstr>'УК 3кв. 2022г.'!Область_печати</vt:lpstr>
      <vt:lpstr>'УК 4 кв. 2019г'!Область_печати</vt:lpstr>
      <vt:lpstr>'УК 4 кв. 2020г.'!Область_печати</vt:lpstr>
      <vt:lpstr>'УК 4 кв. 2022г.'!Область_печати</vt:lpstr>
      <vt:lpstr>'УК 4 кв. 2023г.'!Область_печати</vt:lpstr>
      <vt:lpstr>'УК 4 кв. 2024г.'!Область_печати</vt:lpstr>
      <vt:lpstr>'УК 4кв. 2021г.'!Область_печати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2025-07-01T09:16:59Z</cp:lastPrinted>
  <dcterms:created xsi:type="dcterms:W3CDTF">2018-01-05T04:58:15Z</dcterms:created>
  <dcterms:modified xsi:type="dcterms:W3CDTF">2025-07-02T05:59:42Z</dcterms:modified>
</cp:coreProperties>
</file>